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indows\Desktop\"/>
    </mc:Choice>
  </mc:AlternateContent>
  <xr:revisionPtr revIDLastSave="0" documentId="13_ncr:1_{7056F9CC-B082-448B-BE72-9FB9EF547BE0}" xr6:coauthVersionLast="40" xr6:coauthVersionMax="40" xr10:uidLastSave="{00000000-0000-0000-0000-000000000000}"/>
  <bookViews>
    <workbookView xWindow="0" yWindow="0" windowWidth="24000" windowHeight="9525" firstSheet="5" activeTab="9" xr2:uid="{D73BA721-2F2E-4980-BCA7-2C4B4F8FED04}"/>
  </bookViews>
  <sheets>
    <sheet name="Classificação Variáveis" sheetId="1" r:id="rId1"/>
    <sheet name="Dados Agrupados" sheetId="2" r:id="rId2"/>
    <sheet name="Frequencia" sheetId="3" r:id="rId3"/>
    <sheet name="Moda,Média, Mediana" sheetId="4" r:id="rId4"/>
    <sheet name="Desvio Padrao e Variancia" sheetId="5" r:id="rId5"/>
    <sheet name="Coeficiente de Variação" sheetId="6" r:id="rId6"/>
    <sheet name="Propriedades Média e Desvio Pad" sheetId="7" r:id="rId7"/>
    <sheet name="Probabilidade" sheetId="8" r:id="rId8"/>
    <sheet name="Distribuicao Normal" sheetId="9" r:id="rId9"/>
    <sheet name="Estimacao" sheetId="10" r:id="rId10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300" i="9" l="1"/>
  <c r="C299" i="9"/>
  <c r="C297" i="9"/>
  <c r="E290" i="9"/>
  <c r="G290" i="9"/>
  <c r="F290" i="9"/>
  <c r="E289" i="9"/>
  <c r="E288" i="9"/>
  <c r="B286" i="9"/>
  <c r="E286" i="9" s="1"/>
  <c r="E282" i="9"/>
  <c r="B284" i="9"/>
  <c r="B282" i="9"/>
  <c r="B281" i="9"/>
  <c r="B260" i="9" l="1"/>
  <c r="B242" i="9"/>
  <c r="B241" i="9"/>
  <c r="B217" i="9"/>
  <c r="B214" i="9"/>
  <c r="B212" i="9"/>
  <c r="B210" i="9"/>
  <c r="C185" i="9"/>
  <c r="B169" i="9"/>
  <c r="B168" i="9"/>
  <c r="B152" i="9"/>
  <c r="B150" i="9"/>
  <c r="B149" i="9"/>
  <c r="F121" i="9"/>
  <c r="F120" i="9"/>
  <c r="D120" i="9"/>
  <c r="B93" i="9"/>
  <c r="B91" i="9"/>
  <c r="B90" i="9"/>
  <c r="E72" i="9"/>
  <c r="C46" i="9"/>
  <c r="C35" i="9"/>
  <c r="C26" i="9"/>
  <c r="C22" i="9"/>
  <c r="A22" i="9"/>
  <c r="A11" i="9"/>
  <c r="F234" i="8"/>
  <c r="F226" i="8"/>
  <c r="F223" i="8"/>
  <c r="F220" i="8"/>
  <c r="D214" i="8"/>
  <c r="D213" i="8"/>
  <c r="C215" i="8"/>
  <c r="B215" i="8"/>
  <c r="F108" i="8"/>
  <c r="D108" i="8"/>
  <c r="B108" i="8"/>
  <c r="F104" i="8"/>
  <c r="D104" i="8"/>
  <c r="B104" i="8"/>
  <c r="F100" i="8"/>
  <c r="E100" i="8"/>
  <c r="C100" i="8"/>
  <c r="F98" i="8"/>
  <c r="E98" i="8"/>
  <c r="C98" i="8"/>
  <c r="I22" i="8"/>
  <c r="J39" i="8"/>
  <c r="J40" i="8"/>
  <c r="J41" i="8"/>
  <c r="J38" i="8"/>
  <c r="B20" i="7"/>
  <c r="B23" i="7"/>
  <c r="B24" i="7" s="1"/>
  <c r="B22" i="7"/>
  <c r="B38" i="6"/>
  <c r="D31" i="6"/>
  <c r="D32" i="6"/>
  <c r="D33" i="6"/>
  <c r="D34" i="6"/>
  <c r="D35" i="6" s="1"/>
  <c r="B39" i="6" s="1"/>
  <c r="D30" i="6"/>
  <c r="B37" i="6"/>
  <c r="C35" i="6"/>
  <c r="B35" i="6"/>
  <c r="C31" i="6"/>
  <c r="C32" i="6"/>
  <c r="C33" i="6"/>
  <c r="C34" i="6"/>
  <c r="C30" i="6"/>
  <c r="C23" i="6"/>
  <c r="C22" i="6"/>
  <c r="C21" i="6"/>
  <c r="B63" i="5"/>
  <c r="B62" i="5"/>
  <c r="F52" i="5"/>
  <c r="F53" i="5"/>
  <c r="F54" i="5"/>
  <c r="F55" i="5"/>
  <c r="F51" i="5"/>
  <c r="F56" i="5" s="1"/>
  <c r="B56" i="5"/>
  <c r="D55" i="5"/>
  <c r="D54" i="5"/>
  <c r="D53" i="5"/>
  <c r="D52" i="5"/>
  <c r="E51" i="5"/>
  <c r="E52" i="5" s="1"/>
  <c r="C56" i="5"/>
  <c r="D45" i="5"/>
  <c r="D44" i="5"/>
  <c r="D41" i="5"/>
  <c r="D40" i="5"/>
  <c r="B37" i="5"/>
  <c r="B36" i="5"/>
  <c r="B35" i="5"/>
  <c r="B34" i="5"/>
  <c r="C71" i="4"/>
  <c r="E62" i="4"/>
  <c r="E61" i="4"/>
  <c r="B72" i="4"/>
  <c r="B68" i="4"/>
  <c r="C66" i="4"/>
  <c r="D66" i="4"/>
  <c r="D62" i="4"/>
  <c r="D63" i="4"/>
  <c r="D64" i="4"/>
  <c r="D65" i="4"/>
  <c r="D61" i="4"/>
  <c r="C65" i="4"/>
  <c r="C64" i="4"/>
  <c r="C63" i="4"/>
  <c r="C62" i="4"/>
  <c r="C61" i="4"/>
  <c r="B66" i="4"/>
  <c r="E51" i="4"/>
  <c r="B53" i="4"/>
  <c r="C45" i="4"/>
  <c r="C46" i="4" s="1"/>
  <c r="C47" i="4" s="1"/>
  <c r="C48" i="4" s="1"/>
  <c r="C44" i="4"/>
  <c r="B51" i="4"/>
  <c r="B49" i="4"/>
  <c r="G23" i="4"/>
  <c r="D23" i="4"/>
  <c r="C30" i="4"/>
  <c r="C34" i="4" s="1"/>
  <c r="B38" i="4" s="1"/>
  <c r="C31" i="4"/>
  <c r="C32" i="4"/>
  <c r="C33" i="4"/>
  <c r="C29" i="4"/>
  <c r="B34" i="4"/>
  <c r="B17" i="4"/>
  <c r="D10" i="4"/>
  <c r="B8" i="4"/>
  <c r="B23" i="4" s="1"/>
  <c r="B7" i="4"/>
  <c r="E8" i="3"/>
  <c r="E9" i="3"/>
  <c r="E10" i="3"/>
  <c r="E11" i="3"/>
  <c r="E7" i="3"/>
  <c r="D9" i="3"/>
  <c r="D10" i="3"/>
  <c r="D11" i="3"/>
  <c r="D8" i="3"/>
  <c r="D7" i="3"/>
  <c r="B12" i="3"/>
  <c r="C9" i="3" s="1"/>
  <c r="C24" i="2"/>
  <c r="C16" i="2"/>
  <c r="B171" i="9" l="1"/>
  <c r="C36" i="5"/>
  <c r="B44" i="5"/>
  <c r="B45" i="5" s="1"/>
  <c r="B40" i="5"/>
  <c r="B41" i="5" s="1"/>
  <c r="E53" i="5"/>
  <c r="E54" i="5" s="1"/>
  <c r="E55" i="5" s="1"/>
  <c r="D51" i="5"/>
  <c r="D56" i="5" s="1"/>
  <c r="B59" i="5" s="1"/>
  <c r="B60" i="5" s="1"/>
  <c r="E63" i="4"/>
  <c r="E64" i="4" s="1"/>
  <c r="E65" i="4" s="1"/>
  <c r="B10" i="4"/>
  <c r="C8" i="3"/>
  <c r="C7" i="3"/>
  <c r="C11" i="3"/>
  <c r="C10" i="3"/>
  <c r="E66" i="4" l="1"/>
  <c r="C12" i="3"/>
</calcChain>
</file>

<file path=xl/sharedStrings.xml><?xml version="1.0" encoding="utf-8"?>
<sst xmlns="http://schemas.openxmlformats.org/spreadsheetml/2006/main" count="294" uniqueCount="188">
  <si>
    <t>X</t>
  </si>
  <si>
    <t>F</t>
  </si>
  <si>
    <t>f</t>
  </si>
  <si>
    <t>Soma</t>
  </si>
  <si>
    <t>Dados Agrupados por pontos</t>
  </si>
  <si>
    <t>Dados Agrupados por intervalos</t>
  </si>
  <si>
    <t>Salarios</t>
  </si>
  <si>
    <t>2--4</t>
  </si>
  <si>
    <t>4--6</t>
  </si>
  <si>
    <t>6--8</t>
  </si>
  <si>
    <t>8--10</t>
  </si>
  <si>
    <t>fi</t>
  </si>
  <si>
    <t>fri</t>
  </si>
  <si>
    <t>frequencia absoluta</t>
  </si>
  <si>
    <t>frequencia relativa</t>
  </si>
  <si>
    <t>FI</t>
  </si>
  <si>
    <t>frquencia acumulado</t>
  </si>
  <si>
    <t>Fri</t>
  </si>
  <si>
    <t>frequencia relativa acumulada</t>
  </si>
  <si>
    <t>f2=2</t>
  </si>
  <si>
    <t>fr2=20%</t>
  </si>
  <si>
    <t>das pessoas tem 1 filho</t>
  </si>
  <si>
    <t>pessoas tem 1 filho</t>
  </si>
  <si>
    <t>F2=3</t>
  </si>
  <si>
    <t>pessoas tem 1 ou 0 filhos</t>
  </si>
  <si>
    <t>fr2=30%</t>
  </si>
  <si>
    <t>Xm=sum(X)/n</t>
  </si>
  <si>
    <t>Xm</t>
  </si>
  <si>
    <t>sum(X)</t>
  </si>
  <si>
    <t>n</t>
  </si>
  <si>
    <t>Média de dados não agrupados</t>
  </si>
  <si>
    <t>Moda de dados não agrupados</t>
  </si>
  <si>
    <t>moda</t>
  </si>
  <si>
    <t>Média de dados agrupados por ponto</t>
  </si>
  <si>
    <t>soma</t>
  </si>
  <si>
    <t>Xm=sum(fX)/n</t>
  </si>
  <si>
    <t>f.X</t>
  </si>
  <si>
    <t>xm</t>
  </si>
  <si>
    <t>Mediana de dados não agrupados</t>
  </si>
  <si>
    <t>P=(N+1)/2</t>
  </si>
  <si>
    <t>Mediana de dados agrupados por ponto</t>
  </si>
  <si>
    <t>X10</t>
  </si>
  <si>
    <t>X11</t>
  </si>
  <si>
    <t>X1</t>
  </si>
  <si>
    <t>X2</t>
  </si>
  <si>
    <t>X3</t>
  </si>
  <si>
    <t>X4</t>
  </si>
  <si>
    <t>X5</t>
  </si>
  <si>
    <t>X6</t>
  </si>
  <si>
    <t>X7</t>
  </si>
  <si>
    <t>X8</t>
  </si>
  <si>
    <t>X9</t>
  </si>
  <si>
    <t>X12</t>
  </si>
  <si>
    <t>X13</t>
  </si>
  <si>
    <t>x</t>
  </si>
  <si>
    <t>X14</t>
  </si>
  <si>
    <t>X15</t>
  </si>
  <si>
    <t>X16</t>
  </si>
  <si>
    <t>X17</t>
  </si>
  <si>
    <t>X18</t>
  </si>
  <si>
    <t>X19</t>
  </si>
  <si>
    <t>X20</t>
  </si>
  <si>
    <t>Mediana</t>
  </si>
  <si>
    <t>Média e mediana de dados agrupados por ponto</t>
  </si>
  <si>
    <t>10--12</t>
  </si>
  <si>
    <t>2 em média ganha 3 salarios mínimos</t>
  </si>
  <si>
    <t>fi*xi</t>
  </si>
  <si>
    <t>em média</t>
  </si>
  <si>
    <t>Med=li+(N/2-Fant)*h/fi</t>
  </si>
  <si>
    <t>Fi</t>
  </si>
  <si>
    <t>h</t>
  </si>
  <si>
    <t>amplitude</t>
  </si>
  <si>
    <t>sum(X^2)</t>
  </si>
  <si>
    <t>Amostra</t>
  </si>
  <si>
    <t>S^2</t>
  </si>
  <si>
    <t>S</t>
  </si>
  <si>
    <t>Populacao</t>
  </si>
  <si>
    <t>0--2</t>
  </si>
  <si>
    <t>Xm=sum(f.X)/n</t>
  </si>
  <si>
    <t>(Estimador por ponto)</t>
  </si>
  <si>
    <t>fi*xi^2</t>
  </si>
  <si>
    <t>Score&gt;6</t>
  </si>
  <si>
    <t>P=f/n</t>
  </si>
  <si>
    <t>Turma A</t>
  </si>
  <si>
    <t>Turma B</t>
  </si>
  <si>
    <t>Turma C</t>
  </si>
  <si>
    <t>CV</t>
  </si>
  <si>
    <t>CV=</t>
  </si>
  <si>
    <t>menor CV</t>
  </si>
  <si>
    <t>Exemplo 2</t>
  </si>
  <si>
    <t>Cv?</t>
  </si>
  <si>
    <t>xi</t>
  </si>
  <si>
    <t>Xm(x)</t>
  </si>
  <si>
    <t>S(x)</t>
  </si>
  <si>
    <t>Xm(y)</t>
  </si>
  <si>
    <t>S(y)</t>
  </si>
  <si>
    <t>Cv(y)</t>
  </si>
  <si>
    <t>Cv(x)</t>
  </si>
  <si>
    <t>E1&gt;4</t>
  </si>
  <si>
    <t>E2-pares</t>
  </si>
  <si>
    <t>E3&gt;7</t>
  </si>
  <si>
    <t>E4&lt;7</t>
  </si>
  <si>
    <t>P(E1)</t>
  </si>
  <si>
    <t>P(E2)</t>
  </si>
  <si>
    <t>P(E3)</t>
  </si>
  <si>
    <t>P(E4)</t>
  </si>
  <si>
    <t>Evento Certo</t>
  </si>
  <si>
    <t>Numeros iguais</t>
  </si>
  <si>
    <t>(1,1)(2,2)(3,3)(4,4)(5,5)(6,6)</t>
  </si>
  <si>
    <t>P</t>
  </si>
  <si>
    <t>a)</t>
  </si>
  <si>
    <t>7 D</t>
  </si>
  <si>
    <t>5 P</t>
  </si>
  <si>
    <t>com reposicao</t>
  </si>
  <si>
    <t>P(D1*P1)</t>
  </si>
  <si>
    <t>*</t>
  </si>
  <si>
    <t>b)</t>
  </si>
  <si>
    <t>P(D1*D2)</t>
  </si>
  <si>
    <t>c)</t>
  </si>
  <si>
    <t>P(D1*P2)</t>
  </si>
  <si>
    <t>OU</t>
  </si>
  <si>
    <t>P(P1*D2)</t>
  </si>
  <si>
    <t>+</t>
  </si>
  <si>
    <t>=</t>
  </si>
  <si>
    <t>d)</t>
  </si>
  <si>
    <t>P(P1*P2)</t>
  </si>
  <si>
    <t>SEM REPOSICAO</t>
  </si>
  <si>
    <t>Uma Marca(M)</t>
  </si>
  <si>
    <t>Qualquer marca(Q)</t>
  </si>
  <si>
    <t>Bom(B)</t>
  </si>
  <si>
    <t>Ruim(-R)</t>
  </si>
  <si>
    <t>P(M)</t>
  </si>
  <si>
    <t>NCF</t>
  </si>
  <si>
    <t>NTC</t>
  </si>
  <si>
    <t>P(B)</t>
  </si>
  <si>
    <t>P(M).P(B)</t>
  </si>
  <si>
    <t>P(B/M)</t>
  </si>
  <si>
    <t>(condicional)</t>
  </si>
  <si>
    <t>e)</t>
  </si>
  <si>
    <t>P(B/Q)</t>
  </si>
  <si>
    <t>Area esquerda</t>
  </si>
  <si>
    <t>Area Total</t>
  </si>
  <si>
    <t>p(z&lt;1,23)</t>
  </si>
  <si>
    <t>p(z&lt;-1,02)</t>
  </si>
  <si>
    <t>p(z&gt;1,45)</t>
  </si>
  <si>
    <t>p(z&lt;-1,45)</t>
  </si>
  <si>
    <t>P(z&lt;-1,03)</t>
  </si>
  <si>
    <t>p(z&lt;1,02)</t>
  </si>
  <si>
    <t>p(-1,03&lt;x&lt;1,02)</t>
  </si>
  <si>
    <t>STD</t>
  </si>
  <si>
    <t>P(X&lt;13)</t>
  </si>
  <si>
    <t>z</t>
  </si>
  <si>
    <t>P(16&lt;X&lt;22)</t>
  </si>
  <si>
    <t>P(X&lt;16)</t>
  </si>
  <si>
    <t>p(X&lt;22)</t>
  </si>
  <si>
    <t>P(X&lt;22)</t>
  </si>
  <si>
    <t>p(X&lt;25)</t>
  </si>
  <si>
    <t>P(X&gt;23)</t>
  </si>
  <si>
    <t>P(X&lt;23)</t>
  </si>
  <si>
    <t>Std</t>
  </si>
  <si>
    <t>P(X&lt;0,20)</t>
  </si>
  <si>
    <t>P(X&lt;0,28)</t>
  </si>
  <si>
    <t>P(X&gt;0,28)</t>
  </si>
  <si>
    <t>P(X&lt;0,2 e X&gt;0,28)</t>
  </si>
  <si>
    <t>Sai</t>
  </si>
  <si>
    <t>8h45m</t>
  </si>
  <si>
    <t>Chega</t>
  </si>
  <si>
    <t>9h00m</t>
  </si>
  <si>
    <t>Tempo</t>
  </si>
  <si>
    <t>15 min</t>
  </si>
  <si>
    <t>P(X&gt;15min)</t>
  </si>
  <si>
    <t>P(X&lt;15min)</t>
  </si>
  <si>
    <t>std</t>
  </si>
  <si>
    <t>P(X)</t>
  </si>
  <si>
    <t>P(z&lt;-0,12)</t>
  </si>
  <si>
    <t>P(z&lt;-0,25)</t>
  </si>
  <si>
    <t>P(-0,12z&lt;-0,25)</t>
  </si>
  <si>
    <t>p(z&gt;-0,25)</t>
  </si>
  <si>
    <t>P(z&lt;0,25)</t>
  </si>
  <si>
    <t>p(z&gt;0,25)</t>
  </si>
  <si>
    <t>P(&lt;302,48)</t>
  </si>
  <si>
    <t>P(&gt;298,14)</t>
  </si>
  <si>
    <t>P(297,6&lt;X&lt;303,86)</t>
  </si>
  <si>
    <t>P(Z1&lt;Z&lt;Z2)</t>
  </si>
  <si>
    <t>Area</t>
  </si>
  <si>
    <t>P(z&lt;Z2)</t>
  </si>
  <si>
    <t>Z2=</t>
  </si>
  <si>
    <t>Z1=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</si>
</sst>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"/>
    <numFmt numFmtId="165" formatCode="0.0"/>
    <numFmt numFmtId="166" formatCode="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49">
    <xf numFmtId="0" fontId="0" fillId="0" borderId="0" xfId="0"/>
    <xf numFmtId="0" fontId="0" fillId="0" borderId="0" xfId="0" applyAlignment="1">
      <alignment horizontal="center"/>
    </xf>
    <xf numFmtId="0" fontId="0" fillId="2" borderId="0" xfId="0" applyFill="1"/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0" xfId="0" applyAlignment="1">
      <alignment wrapText="1"/>
    </xf>
    <xf numFmtId="49" fontId="0" fillId="0" borderId="1" xfId="0" applyNumberFormat="1" applyBorder="1" applyAlignment="1">
      <alignment horizontal="center"/>
    </xf>
    <xf numFmtId="165" fontId="0" fillId="0" borderId="1" xfId="0" applyNumberFormat="1" applyBorder="1"/>
    <xf numFmtId="9" fontId="0" fillId="0" borderId="1" xfId="1" applyFont="1" applyBorder="1" applyAlignment="1">
      <alignment horizontal="center"/>
    </xf>
    <xf numFmtId="9" fontId="0" fillId="0" borderId="0" xfId="1" applyFont="1" applyAlignment="1">
      <alignment horizontal="center"/>
    </xf>
    <xf numFmtId="1" fontId="0" fillId="0" borderId="1" xfId="1" applyNumberFormat="1" applyFont="1" applyBorder="1" applyAlignment="1">
      <alignment horizontal="center"/>
    </xf>
    <xf numFmtId="1" fontId="0" fillId="0" borderId="0" xfId="1" applyNumberFormat="1" applyFont="1" applyAlignment="1">
      <alignment horizontal="center"/>
    </xf>
    <xf numFmtId="0" fontId="0" fillId="2" borderId="1" xfId="0" applyFill="1" applyBorder="1" applyAlignment="1">
      <alignment horizontal="center"/>
    </xf>
    <xf numFmtId="9" fontId="0" fillId="2" borderId="1" xfId="1" applyFont="1" applyFill="1" applyBorder="1" applyAlignment="1">
      <alignment horizontal="center"/>
    </xf>
    <xf numFmtId="1" fontId="0" fillId="2" borderId="1" xfId="1" applyNumberFormat="1" applyFont="1" applyFill="1" applyBorder="1" applyAlignment="1">
      <alignment horizontal="center"/>
    </xf>
    <xf numFmtId="0" fontId="0" fillId="2" borderId="1" xfId="0" applyFill="1" applyBorder="1"/>
    <xf numFmtId="0" fontId="0" fillId="3" borderId="1" xfId="0" applyFill="1" applyBorder="1"/>
    <xf numFmtId="0" fontId="0" fillId="4" borderId="0" xfId="0" applyFill="1"/>
    <xf numFmtId="0" fontId="0" fillId="5" borderId="0" xfId="0" applyFill="1"/>
    <xf numFmtId="0" fontId="0" fillId="6" borderId="2" xfId="0" applyFill="1" applyBorder="1"/>
    <xf numFmtId="0" fontId="0" fillId="7" borderId="2" xfId="0" applyFill="1" applyBorder="1"/>
    <xf numFmtId="0" fontId="0" fillId="0" borderId="4" xfId="0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0" fillId="3" borderId="0" xfId="0" applyFill="1"/>
    <xf numFmtId="49" fontId="0" fillId="0" borderId="0" xfId="0" applyNumberFormat="1" applyFill="1" applyBorder="1" applyAlignment="1">
      <alignment horizontal="center"/>
    </xf>
    <xf numFmtId="49" fontId="0" fillId="2" borderId="1" xfId="0" applyNumberFormat="1" applyFill="1" applyBorder="1" applyAlignment="1">
      <alignment horizontal="center"/>
    </xf>
    <xf numFmtId="164" fontId="0" fillId="0" borderId="0" xfId="0" applyNumberFormat="1"/>
    <xf numFmtId="49" fontId="3" fillId="3" borderId="1" xfId="0" applyNumberFormat="1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8" borderId="1" xfId="0" applyFill="1" applyBorder="1" applyAlignment="1">
      <alignment horizontal="center"/>
    </xf>
    <xf numFmtId="9" fontId="0" fillId="0" borderId="0" xfId="1" applyFont="1"/>
    <xf numFmtId="0" fontId="0" fillId="9" borderId="0" xfId="0" applyFill="1"/>
    <xf numFmtId="9" fontId="0" fillId="9" borderId="0" xfId="1" applyFont="1" applyFill="1"/>
    <xf numFmtId="2" fontId="0" fillId="0" borderId="0" xfId="0" applyNumberFormat="1"/>
    <xf numFmtId="166" fontId="0" fillId="0" borderId="0" xfId="1" applyNumberFormat="1" applyFont="1"/>
    <xf numFmtId="10" fontId="0" fillId="0" borderId="0" xfId="1" applyNumberFormat="1" applyFont="1"/>
    <xf numFmtId="11" fontId="0" fillId="0" borderId="0" xfId="0" applyNumberFormat="1"/>
    <xf numFmtId="0" fontId="0" fillId="9" borderId="1" xfId="0" applyFill="1" applyBorder="1"/>
    <xf numFmtId="0" fontId="0" fillId="0" borderId="1" xfId="0" applyFill="1" applyBorder="1"/>
    <xf numFmtId="18" fontId="0" fillId="0" borderId="0" xfId="0" quotePrefix="1" applyNumberFormat="1"/>
    <xf numFmtId="0" fontId="0" fillId="0" borderId="0" xfId="0" applyAlignment="1">
      <alignment horizontal="left"/>
    </xf>
    <xf numFmtId="10" fontId="0" fillId="0" borderId="0" xfId="0" applyNumberFormat="1"/>
    <xf numFmtId="166" fontId="0" fillId="0" borderId="0" xfId="0" applyNumberFormat="1"/>
    <xf numFmtId="0" fontId="0" fillId="0" borderId="0" xfId="0" applyAlignment="1">
      <alignment horizontal="center"/>
    </xf>
    <xf numFmtId="0" fontId="0" fillId="2" borderId="0" xfId="0" applyFill="1" applyAlignment="1">
      <alignment horizontal="center" wrapText="1"/>
    </xf>
    <xf numFmtId="0" fontId="0" fillId="2" borderId="0" xfId="0" applyFill="1" applyAlignment="1">
      <alignment horizontal="center"/>
    </xf>
    <xf numFmtId="2" fontId="0" fillId="0" borderId="0" xfId="1" applyNumberFormat="1" applyFon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13" Type="http://schemas.openxmlformats.org/officeDocument/2006/relationships/image" Target="../media/image25.png"/><Relationship Id="rId18" Type="http://schemas.openxmlformats.org/officeDocument/2006/relationships/image" Target="../media/image30.png"/><Relationship Id="rId3" Type="http://schemas.openxmlformats.org/officeDocument/2006/relationships/image" Target="../media/image15.png"/><Relationship Id="rId21" Type="http://schemas.openxmlformats.org/officeDocument/2006/relationships/image" Target="../media/image33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17" Type="http://schemas.openxmlformats.org/officeDocument/2006/relationships/image" Target="../media/image29.png"/><Relationship Id="rId2" Type="http://schemas.openxmlformats.org/officeDocument/2006/relationships/image" Target="../media/image14.png"/><Relationship Id="rId16" Type="http://schemas.openxmlformats.org/officeDocument/2006/relationships/image" Target="../media/image28.png"/><Relationship Id="rId20" Type="http://schemas.openxmlformats.org/officeDocument/2006/relationships/image" Target="../media/image32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5" Type="http://schemas.openxmlformats.org/officeDocument/2006/relationships/image" Target="../media/image27.png"/><Relationship Id="rId10" Type="http://schemas.openxmlformats.org/officeDocument/2006/relationships/image" Target="../media/image22.png"/><Relationship Id="rId19" Type="http://schemas.openxmlformats.org/officeDocument/2006/relationships/image" Target="../media/image31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Relationship Id="rId14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image" Target="../media/image46.png"/><Relationship Id="rId18" Type="http://schemas.openxmlformats.org/officeDocument/2006/relationships/image" Target="../media/image51.png"/><Relationship Id="rId3" Type="http://schemas.openxmlformats.org/officeDocument/2006/relationships/image" Target="../media/image36.png"/><Relationship Id="rId21" Type="http://schemas.openxmlformats.org/officeDocument/2006/relationships/image" Target="../media/image54.png"/><Relationship Id="rId7" Type="http://schemas.openxmlformats.org/officeDocument/2006/relationships/image" Target="../media/image40.png"/><Relationship Id="rId12" Type="http://schemas.openxmlformats.org/officeDocument/2006/relationships/image" Target="../media/image45.png"/><Relationship Id="rId17" Type="http://schemas.openxmlformats.org/officeDocument/2006/relationships/image" Target="../media/image50.png"/><Relationship Id="rId2" Type="http://schemas.openxmlformats.org/officeDocument/2006/relationships/image" Target="../media/image35.png"/><Relationship Id="rId16" Type="http://schemas.openxmlformats.org/officeDocument/2006/relationships/image" Target="../media/image49.png"/><Relationship Id="rId20" Type="http://schemas.openxmlformats.org/officeDocument/2006/relationships/image" Target="../media/image53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11" Type="http://schemas.openxmlformats.org/officeDocument/2006/relationships/image" Target="../media/image44.png"/><Relationship Id="rId5" Type="http://schemas.openxmlformats.org/officeDocument/2006/relationships/image" Target="../media/image38.png"/><Relationship Id="rId15" Type="http://schemas.openxmlformats.org/officeDocument/2006/relationships/image" Target="../media/image48.png"/><Relationship Id="rId23" Type="http://schemas.openxmlformats.org/officeDocument/2006/relationships/image" Target="../media/image56.png"/><Relationship Id="rId10" Type="http://schemas.openxmlformats.org/officeDocument/2006/relationships/image" Target="../media/image43.png"/><Relationship Id="rId19" Type="http://schemas.openxmlformats.org/officeDocument/2006/relationships/image" Target="../media/image52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Relationship Id="rId14" Type="http://schemas.openxmlformats.org/officeDocument/2006/relationships/image" Target="../media/image47.png"/><Relationship Id="rId22" Type="http://schemas.openxmlformats.org/officeDocument/2006/relationships/image" Target="../media/image5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266700</xdr:colOff>
      <xdr:row>9</xdr:row>
      <xdr:rowOff>114300</xdr:rowOff>
    </xdr:from>
    <xdr:to>
      <xdr:col>1</xdr:col>
      <xdr:colOff>2162175</xdr:colOff>
      <xdr:row>13</xdr:row>
      <xdr:rowOff>85725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51DE60B-7788-412B-8EA0-34F5E1C49C90}"/>
            </a:ext>
          </a:extLst>
        </xdr:cNvPr>
        <xdr:cNvSpPr/>
      </xdr:nvSpPr>
      <xdr:spPr>
        <a:xfrm>
          <a:off x="876300" y="1828800"/>
          <a:ext cx="1895475" cy="733425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Variável</a:t>
          </a:r>
        </a:p>
        <a:p>
          <a:pPr algn="l"/>
          <a:r>
            <a:rPr lang="pt-BR" sz="1100"/>
            <a:t>Algo que varia de elemento para elemento</a:t>
          </a:r>
        </a:p>
      </xdr:txBody>
    </xdr:sp>
    <xdr:clientData/>
  </xdr:twoCellAnchor>
  <xdr:twoCellAnchor>
    <xdr:from>
      <xdr:col>2</xdr:col>
      <xdr:colOff>428625</xdr:colOff>
      <xdr:row>5</xdr:row>
      <xdr:rowOff>180975</xdr:rowOff>
    </xdr:from>
    <xdr:to>
      <xdr:col>5</xdr:col>
      <xdr:colOff>219075</xdr:colOff>
      <xdr:row>9</xdr:row>
      <xdr:rowOff>47625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C91CBF0D-8732-4EF3-BEF0-66A2E4B63D26}"/>
            </a:ext>
          </a:extLst>
        </xdr:cNvPr>
        <xdr:cNvSpPr/>
      </xdr:nvSpPr>
      <xdr:spPr>
        <a:xfrm>
          <a:off x="3695700" y="1133475"/>
          <a:ext cx="1619250" cy="6286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Qualitativa ou categorica</a:t>
          </a:r>
        </a:p>
        <a:p>
          <a:pPr algn="l"/>
          <a:r>
            <a:rPr lang="pt-BR" sz="1100"/>
            <a:t>Não podem ser medidas</a:t>
          </a:r>
        </a:p>
      </xdr:txBody>
    </xdr:sp>
    <xdr:clientData/>
  </xdr:twoCellAnchor>
  <xdr:twoCellAnchor>
    <xdr:from>
      <xdr:col>2</xdr:col>
      <xdr:colOff>428625</xdr:colOff>
      <xdr:row>15</xdr:row>
      <xdr:rowOff>0</xdr:rowOff>
    </xdr:from>
    <xdr:to>
      <xdr:col>5</xdr:col>
      <xdr:colOff>219075</xdr:colOff>
      <xdr:row>18</xdr:row>
      <xdr:rowOff>57150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0CD9EAA-EEC8-4C81-93B0-AAE3AC5AA0D3}"/>
            </a:ext>
          </a:extLst>
        </xdr:cNvPr>
        <xdr:cNvSpPr/>
      </xdr:nvSpPr>
      <xdr:spPr>
        <a:xfrm>
          <a:off x="3695700" y="2857500"/>
          <a:ext cx="1619250" cy="62865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Quantitativas</a:t>
          </a:r>
        </a:p>
        <a:p>
          <a:pPr algn="l"/>
          <a:r>
            <a:rPr lang="pt-BR" sz="1100"/>
            <a:t>podem ser medidas</a:t>
          </a:r>
        </a:p>
      </xdr:txBody>
    </xdr:sp>
    <xdr:clientData/>
  </xdr:twoCellAnchor>
  <xdr:twoCellAnchor>
    <xdr:from>
      <xdr:col>6</xdr:col>
      <xdr:colOff>533400</xdr:colOff>
      <xdr:row>2</xdr:row>
      <xdr:rowOff>114300</xdr:rowOff>
    </xdr:from>
    <xdr:to>
      <xdr:col>9</xdr:col>
      <xdr:colOff>323850</xdr:colOff>
      <xdr:row>5</xdr:row>
      <xdr:rowOff>171450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5CE13A98-26B6-4342-9CC3-70BC512FA3D0}"/>
            </a:ext>
          </a:extLst>
        </xdr:cNvPr>
        <xdr:cNvSpPr/>
      </xdr:nvSpPr>
      <xdr:spPr>
        <a:xfrm>
          <a:off x="6238875" y="495300"/>
          <a:ext cx="1619250" cy="628650"/>
        </a:xfrm>
        <a:prstGeom prst="rect">
          <a:avLst/>
        </a:prstGeom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Nominal</a:t>
          </a:r>
        </a:p>
      </xdr:txBody>
    </xdr:sp>
    <xdr:clientData/>
  </xdr:twoCellAnchor>
  <xdr:twoCellAnchor>
    <xdr:from>
      <xdr:col>10</xdr:col>
      <xdr:colOff>590550</xdr:colOff>
      <xdr:row>2</xdr:row>
      <xdr:rowOff>104775</xdr:rowOff>
    </xdr:from>
    <xdr:to>
      <xdr:col>13</xdr:col>
      <xdr:colOff>381000</xdr:colOff>
      <xdr:row>5</xdr:row>
      <xdr:rowOff>161925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2FCAB34-5F48-402F-B272-EA3F5E778054}"/>
            </a:ext>
          </a:extLst>
        </xdr:cNvPr>
        <xdr:cNvSpPr/>
      </xdr:nvSpPr>
      <xdr:spPr>
        <a:xfrm>
          <a:off x="8734425" y="485775"/>
          <a:ext cx="1619250" cy="628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Time</a:t>
          </a:r>
          <a:r>
            <a:rPr lang="pt-BR" sz="1100" baseline="0"/>
            <a:t> </a:t>
          </a:r>
        </a:p>
        <a:p>
          <a:pPr algn="l"/>
          <a:r>
            <a:rPr lang="pt-BR" sz="1100" baseline="0"/>
            <a:t>Marca</a:t>
          </a:r>
        </a:p>
        <a:p>
          <a:pPr algn="l"/>
          <a:r>
            <a:rPr lang="pt-BR" sz="1100" baseline="0"/>
            <a:t>Sexo</a:t>
          </a:r>
          <a:endParaRPr lang="pt-BR" sz="1100"/>
        </a:p>
      </xdr:txBody>
    </xdr:sp>
    <xdr:clientData/>
  </xdr:twoCellAnchor>
  <xdr:twoCellAnchor>
    <xdr:from>
      <xdr:col>6</xdr:col>
      <xdr:colOff>590550</xdr:colOff>
      <xdr:row>8</xdr:row>
      <xdr:rowOff>19050</xdr:rowOff>
    </xdr:from>
    <xdr:to>
      <xdr:col>9</xdr:col>
      <xdr:colOff>381000</xdr:colOff>
      <xdr:row>11</xdr:row>
      <xdr:rowOff>76200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985F1295-8AFE-48C1-BDC4-C81F5269CD2D}"/>
            </a:ext>
          </a:extLst>
        </xdr:cNvPr>
        <xdr:cNvSpPr/>
      </xdr:nvSpPr>
      <xdr:spPr>
        <a:xfrm>
          <a:off x="6296025" y="1543050"/>
          <a:ext cx="1619250" cy="628650"/>
        </a:xfrm>
        <a:prstGeom prst="rect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Ordinal</a:t>
          </a:r>
        </a:p>
      </xdr:txBody>
    </xdr:sp>
    <xdr:clientData/>
  </xdr:twoCellAnchor>
  <xdr:twoCellAnchor>
    <xdr:from>
      <xdr:col>11</xdr:col>
      <xdr:colOff>9525</xdr:colOff>
      <xdr:row>8</xdr:row>
      <xdr:rowOff>28575</xdr:rowOff>
    </xdr:from>
    <xdr:to>
      <xdr:col>13</xdr:col>
      <xdr:colOff>409575</xdr:colOff>
      <xdr:row>11</xdr:row>
      <xdr:rowOff>85725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A9A335A-0D39-4923-A0FA-331402423C9C}"/>
            </a:ext>
          </a:extLst>
        </xdr:cNvPr>
        <xdr:cNvSpPr/>
      </xdr:nvSpPr>
      <xdr:spPr>
        <a:xfrm>
          <a:off x="8763000" y="1552575"/>
          <a:ext cx="1619250" cy="628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Classe Social</a:t>
          </a:r>
        </a:p>
        <a:p>
          <a:pPr algn="l"/>
          <a:r>
            <a:rPr lang="pt-BR" sz="1100"/>
            <a:t>A,B,C,D,E</a:t>
          </a:r>
        </a:p>
      </xdr:txBody>
    </xdr:sp>
    <xdr:clientData/>
  </xdr:twoCellAnchor>
  <xdr:twoCellAnchor>
    <xdr:from>
      <xdr:col>1</xdr:col>
      <xdr:colOff>2162175</xdr:colOff>
      <xdr:row>7</xdr:row>
      <xdr:rowOff>114300</xdr:rowOff>
    </xdr:from>
    <xdr:to>
      <xdr:col>2</xdr:col>
      <xdr:colOff>428625</xdr:colOff>
      <xdr:row>11</xdr:row>
      <xdr:rowOff>100013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FC17C87D-C6C8-41B7-A9C6-C2470836B54A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2771775" y="1447800"/>
          <a:ext cx="923925" cy="7477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2162175</xdr:colOff>
      <xdr:row>11</xdr:row>
      <xdr:rowOff>100013</xdr:rowOff>
    </xdr:from>
    <xdr:to>
      <xdr:col>2</xdr:col>
      <xdr:colOff>428625</xdr:colOff>
      <xdr:row>16</xdr:row>
      <xdr:rowOff>123825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48C18E2-5E8A-4362-9493-B971C6966D8E}"/>
            </a:ext>
          </a:extLst>
        </xdr:cNvPr>
        <xdr:cNvCxnSpPr>
          <a:stCxn id="2" idx="3"/>
          <a:endCxn id="4" idx="1"/>
        </xdr:cNvCxnSpPr>
      </xdr:nvCxnSpPr>
      <xdr:spPr>
        <a:xfrm>
          <a:off x="2771775" y="2195513"/>
          <a:ext cx="923925" cy="97631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219075</xdr:colOff>
      <xdr:row>4</xdr:row>
      <xdr:rowOff>47625</xdr:rowOff>
    </xdr:from>
    <xdr:to>
      <xdr:col>6</xdr:col>
      <xdr:colOff>533400</xdr:colOff>
      <xdr:row>7</xdr:row>
      <xdr:rowOff>114300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49E33C-7F9B-4F70-82E1-51F683B946D9}"/>
            </a:ext>
          </a:extLst>
        </xdr:cNvPr>
        <xdr:cNvCxnSpPr>
          <a:stCxn id="3" idx="3"/>
          <a:endCxn id="5" idx="1"/>
        </xdr:cNvCxnSpPr>
      </xdr:nvCxnSpPr>
      <xdr:spPr>
        <a:xfrm flipV="1">
          <a:off x="5314950" y="809625"/>
          <a:ext cx="923925" cy="638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323850</xdr:colOff>
      <xdr:row>4</xdr:row>
      <xdr:rowOff>38100</xdr:rowOff>
    </xdr:from>
    <xdr:to>
      <xdr:col>10</xdr:col>
      <xdr:colOff>590550</xdr:colOff>
      <xdr:row>4</xdr:row>
      <xdr:rowOff>47625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BE9F05DC-0CE3-4AFA-A1FD-A8E28B7EE0CA}"/>
            </a:ext>
          </a:extLst>
        </xdr:cNvPr>
        <xdr:cNvCxnSpPr>
          <a:stCxn id="5" idx="3"/>
          <a:endCxn id="6" idx="1"/>
        </xdr:cNvCxnSpPr>
      </xdr:nvCxnSpPr>
      <xdr:spPr>
        <a:xfrm flipV="1">
          <a:off x="7858125" y="800100"/>
          <a:ext cx="87630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514350</xdr:colOff>
      <xdr:row>14</xdr:row>
      <xdr:rowOff>66675</xdr:rowOff>
    </xdr:from>
    <xdr:to>
      <xdr:col>9</xdr:col>
      <xdr:colOff>304800</xdr:colOff>
      <xdr:row>17</xdr:row>
      <xdr:rowOff>123825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E8A92B2E-AEE5-4969-9ED7-6201B0A028D9}"/>
            </a:ext>
          </a:extLst>
        </xdr:cNvPr>
        <xdr:cNvSpPr/>
      </xdr:nvSpPr>
      <xdr:spPr>
        <a:xfrm>
          <a:off x="6219825" y="2733675"/>
          <a:ext cx="1619250" cy="628650"/>
        </a:xfrm>
        <a:prstGeom prst="rect">
          <a:avLst/>
        </a:prstGeom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Discreta</a:t>
          </a:r>
        </a:p>
      </xdr:txBody>
    </xdr:sp>
    <xdr:clientData/>
  </xdr:twoCellAnchor>
  <xdr:twoCellAnchor>
    <xdr:from>
      <xdr:col>6</xdr:col>
      <xdr:colOff>571500</xdr:colOff>
      <xdr:row>20</xdr:row>
      <xdr:rowOff>9525</xdr:rowOff>
    </xdr:from>
    <xdr:to>
      <xdr:col>9</xdr:col>
      <xdr:colOff>361950</xdr:colOff>
      <xdr:row>23</xdr:row>
      <xdr:rowOff>66675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4E11BA45-2FC6-426D-8E8F-565BEAEB658B}"/>
            </a:ext>
          </a:extLst>
        </xdr:cNvPr>
        <xdr:cNvSpPr/>
      </xdr:nvSpPr>
      <xdr:spPr>
        <a:xfrm>
          <a:off x="6276975" y="3819525"/>
          <a:ext cx="1619250" cy="628650"/>
        </a:xfrm>
        <a:prstGeom prst="rect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Contínua</a:t>
          </a:r>
        </a:p>
      </xdr:txBody>
    </xdr:sp>
    <xdr:clientData/>
  </xdr:twoCellAnchor>
  <xdr:twoCellAnchor>
    <xdr:from>
      <xdr:col>10</xdr:col>
      <xdr:colOff>600075</xdr:colOff>
      <xdr:row>14</xdr:row>
      <xdr:rowOff>114300</xdr:rowOff>
    </xdr:from>
    <xdr:to>
      <xdr:col>13</xdr:col>
      <xdr:colOff>390525</xdr:colOff>
      <xdr:row>17</xdr:row>
      <xdr:rowOff>171450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626909F4-EBFB-41A8-86F3-D6421E6D912C}"/>
            </a:ext>
          </a:extLst>
        </xdr:cNvPr>
        <xdr:cNvSpPr/>
      </xdr:nvSpPr>
      <xdr:spPr>
        <a:xfrm>
          <a:off x="8743950" y="2781300"/>
          <a:ext cx="1619250" cy="628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Número</a:t>
          </a:r>
          <a:r>
            <a:rPr lang="pt-BR" sz="1100" baseline="0"/>
            <a:t> de Filhos</a:t>
          </a:r>
          <a:endParaRPr lang="pt-BR" sz="1100"/>
        </a:p>
      </xdr:txBody>
    </xdr:sp>
    <xdr:clientData/>
  </xdr:twoCellAnchor>
  <xdr:twoCellAnchor>
    <xdr:from>
      <xdr:col>11</xdr:col>
      <xdr:colOff>0</xdr:colOff>
      <xdr:row>20</xdr:row>
      <xdr:rowOff>19050</xdr:rowOff>
    </xdr:from>
    <xdr:to>
      <xdr:col>13</xdr:col>
      <xdr:colOff>400050</xdr:colOff>
      <xdr:row>23</xdr:row>
      <xdr:rowOff>76200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2E14D53-6C75-4F8D-A4F7-A076AAB3223F}"/>
            </a:ext>
          </a:extLst>
        </xdr:cNvPr>
        <xdr:cNvSpPr/>
      </xdr:nvSpPr>
      <xdr:spPr>
        <a:xfrm>
          <a:off x="8753475" y="3829050"/>
          <a:ext cx="1619250" cy="628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Altura</a:t>
          </a:r>
        </a:p>
        <a:p>
          <a:pPr algn="l"/>
          <a:r>
            <a:rPr lang="pt-BR" sz="1100"/>
            <a:t>Peso</a:t>
          </a:r>
        </a:p>
        <a:p>
          <a:pPr algn="l"/>
          <a:r>
            <a:rPr lang="pt-BR" sz="1100"/>
            <a:t>Tempo</a:t>
          </a:r>
        </a:p>
      </xdr:txBody>
    </xdr:sp>
    <xdr:clientData/>
  </xdr:twoCellAnchor>
  <xdr:twoCellAnchor>
    <xdr:from>
      <xdr:col>5</xdr:col>
      <xdr:colOff>219075</xdr:colOff>
      <xdr:row>7</xdr:row>
      <xdr:rowOff>114300</xdr:rowOff>
    </xdr:from>
    <xdr:to>
      <xdr:col>6</xdr:col>
      <xdr:colOff>590550</xdr:colOff>
      <xdr:row>9</xdr:row>
      <xdr:rowOff>142875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8AE02908-2C8A-498F-A9C1-0B64CB4E1224}"/>
            </a:ext>
          </a:extLst>
        </xdr:cNvPr>
        <xdr:cNvCxnSpPr>
          <a:stCxn id="3" idx="3"/>
          <a:endCxn id="7" idx="1"/>
        </xdr:cNvCxnSpPr>
      </xdr:nvCxnSpPr>
      <xdr:spPr>
        <a:xfrm>
          <a:off x="5314950" y="1447800"/>
          <a:ext cx="981075" cy="409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381000</xdr:colOff>
      <xdr:row>9</xdr:row>
      <xdr:rowOff>142875</xdr:rowOff>
    </xdr:from>
    <xdr:to>
      <xdr:col>11</xdr:col>
      <xdr:colOff>9525</xdr:colOff>
      <xdr:row>9</xdr:row>
      <xdr:rowOff>152400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893B6564-917A-4044-9D97-7B338D077E78}"/>
            </a:ext>
          </a:extLst>
        </xdr:cNvPr>
        <xdr:cNvCxnSpPr>
          <a:stCxn id="7" idx="3"/>
          <a:endCxn id="8" idx="1"/>
        </xdr:cNvCxnSpPr>
      </xdr:nvCxnSpPr>
      <xdr:spPr>
        <a:xfrm>
          <a:off x="7915275" y="1857375"/>
          <a:ext cx="8477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219075</xdr:colOff>
      <xdr:row>16</xdr:row>
      <xdr:rowOff>0</xdr:rowOff>
    </xdr:from>
    <xdr:to>
      <xdr:col>6</xdr:col>
      <xdr:colOff>514350</xdr:colOff>
      <xdr:row>16</xdr:row>
      <xdr:rowOff>123825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FF3F2723-96E9-47C7-A581-AB736DA0D13E}"/>
            </a:ext>
          </a:extLst>
        </xdr:cNvPr>
        <xdr:cNvCxnSpPr>
          <a:stCxn id="4" idx="3"/>
          <a:endCxn id="18" idx="1"/>
        </xdr:cNvCxnSpPr>
      </xdr:nvCxnSpPr>
      <xdr:spPr>
        <a:xfrm flipV="1">
          <a:off x="5314950" y="3048000"/>
          <a:ext cx="904875" cy="123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219075</xdr:colOff>
      <xdr:row>16</xdr:row>
      <xdr:rowOff>123825</xdr:rowOff>
    </xdr:from>
    <xdr:to>
      <xdr:col>6</xdr:col>
      <xdr:colOff>571500</xdr:colOff>
      <xdr:row>21</xdr:row>
      <xdr:rowOff>133350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9DD3336F-C18B-4F80-A0F9-89FA5EBB6B52}"/>
            </a:ext>
          </a:extLst>
        </xdr:cNvPr>
        <xdr:cNvCxnSpPr>
          <a:stCxn id="4" idx="3"/>
          <a:endCxn id="19" idx="1"/>
        </xdr:cNvCxnSpPr>
      </xdr:nvCxnSpPr>
      <xdr:spPr>
        <a:xfrm>
          <a:off x="5314950" y="3171825"/>
          <a:ext cx="962025" cy="962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304800</xdr:colOff>
      <xdr:row>16</xdr:row>
      <xdr:rowOff>0</xdr:rowOff>
    </xdr:from>
    <xdr:to>
      <xdr:col>10</xdr:col>
      <xdr:colOff>600075</xdr:colOff>
      <xdr:row>16</xdr:row>
      <xdr:rowOff>47625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37F1650-F2B9-4FCD-940F-10942B166A5D}"/>
            </a:ext>
          </a:extLst>
        </xdr:cNvPr>
        <xdr:cNvCxnSpPr>
          <a:stCxn id="18" idx="3"/>
          <a:endCxn id="20" idx="1"/>
        </xdr:cNvCxnSpPr>
      </xdr:nvCxnSpPr>
      <xdr:spPr>
        <a:xfrm>
          <a:off x="7839075" y="3048000"/>
          <a:ext cx="904875" cy="47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361950</xdr:colOff>
      <xdr:row>21</xdr:row>
      <xdr:rowOff>133350</xdr:rowOff>
    </xdr:from>
    <xdr:to>
      <xdr:col>11</xdr:col>
      <xdr:colOff>0</xdr:colOff>
      <xdr:row>21</xdr:row>
      <xdr:rowOff>142875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07F76EC6-F110-4C63-8B0A-144FA37E06CF}"/>
            </a:ext>
          </a:extLst>
        </xdr:cNvPr>
        <xdr:cNvCxnSpPr>
          <a:stCxn id="19" idx="3"/>
          <a:endCxn id="21" idx="1"/>
        </xdr:cNvCxnSpPr>
      </xdr:nvCxnSpPr>
      <xdr:spPr>
        <a:xfrm>
          <a:off x="7896225" y="4133850"/>
          <a:ext cx="85725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28575</xdr:colOff>
      <xdr:row>2</xdr:row>
      <xdr:rowOff>0</xdr:rowOff>
    </xdr:from>
    <xdr:to>
      <xdr:col>3</xdr:col>
      <xdr:colOff>295275</xdr:colOff>
      <xdr:row>6</xdr:row>
      <xdr:rowOff>66675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9D9D3AE-8324-4C48-8CC7-40EF06094113}"/>
            </a:ext>
          </a:extLst>
        </xdr:cNvPr>
        <xdr:cNvSpPr/>
      </xdr:nvSpPr>
      <xdr:spPr>
        <a:xfrm>
          <a:off x="638175" y="381000"/>
          <a:ext cx="1485900" cy="8286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Dados não agrupados</a:t>
          </a:r>
        </a:p>
        <a:p>
          <a:pPr algn="l"/>
          <a:r>
            <a:rPr lang="pt-BR" sz="1100"/>
            <a:t>X:</a:t>
          </a:r>
          <a:r>
            <a:rPr lang="pt-BR" sz="1100" baseline="0"/>
            <a:t> 0, 2, 1, 2, 3, 1, 2, 2, 3, 4</a:t>
          </a:r>
          <a:endParaRPr lang="pt-B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418053</xdr:colOff>
      <xdr:row>21</xdr:row>
      <xdr:rowOff>47119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07124F-D862-4288-BE68-8442EEA9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371428" cy="4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47626</xdr:colOff>
      <xdr:row>20</xdr:row>
      <xdr:rowOff>123826</xdr:rowOff>
    </xdr:from>
    <xdr:to>
      <xdr:col>7</xdr:col>
      <xdr:colOff>245917</xdr:colOff>
      <xdr:row>29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F75CEB-580E-454D-82F4-46C39A5C6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6" y="3933826"/>
          <a:ext cx="4494066" cy="1600199"/>
        </a:xfrm>
        <a:prstGeom prst="rect">
          <a:avLst/>
        </a:prstGeom>
      </xdr:spPr>
    </xdr:pic>
    <xdr:clientData/>
  </xdr:twoCellAnchor>
  <xdr:twoCellAnchor editAs="oneCell">
    <xdr:from>
      <xdr:col>6</xdr:col>
      <xdr:colOff>409575</xdr:colOff>
      <xdr:row>48</xdr:row>
      <xdr:rowOff>114300</xdr:rowOff>
    </xdr:from>
    <xdr:to>
      <xdr:col>11</xdr:col>
      <xdr:colOff>428625</xdr:colOff>
      <xdr:row>54</xdr:row>
      <xdr:rowOff>99030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7C6EC7-9BB3-4932-A932-DD783CCA4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95750" y="9258300"/>
          <a:ext cx="3067050" cy="112773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447676</xdr:colOff>
      <xdr:row>0</xdr:row>
      <xdr:rowOff>0</xdr:rowOff>
    </xdr:from>
    <xdr:to>
      <xdr:col>11</xdr:col>
      <xdr:colOff>581026</xdr:colOff>
      <xdr:row>9</xdr:row>
      <xdr:rowOff>18387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61E6BF0-B06E-46B8-99F4-79401679A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05276" y="0"/>
          <a:ext cx="3181350" cy="1732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28576</xdr:rowOff>
    </xdr:from>
    <xdr:to>
      <xdr:col>6</xdr:col>
      <xdr:colOff>417529</xdr:colOff>
      <xdr:row>5</xdr:row>
      <xdr:rowOff>28576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D162AA-C0C8-4591-B37F-A46A35D6E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576"/>
          <a:ext cx="4075129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5</xdr:row>
      <xdr:rowOff>19050</xdr:rowOff>
    </xdr:from>
    <xdr:to>
      <xdr:col>6</xdr:col>
      <xdr:colOff>410281</xdr:colOff>
      <xdr:row>12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D90C0D-A4F7-4593-9C7B-606CD4C9C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575" y="971550"/>
          <a:ext cx="4039306" cy="1428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28575</xdr:rowOff>
    </xdr:from>
    <xdr:to>
      <xdr:col>4</xdr:col>
      <xdr:colOff>358013</xdr:colOff>
      <xdr:row>18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7EE664-2201-46C5-8FD0-9AA7D470C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505075"/>
          <a:ext cx="2796413" cy="92392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285750</xdr:colOff>
      <xdr:row>31</xdr:row>
      <xdr:rowOff>85726</xdr:rowOff>
    </xdr:from>
    <xdr:to>
      <xdr:col>10</xdr:col>
      <xdr:colOff>138097</xdr:colOff>
      <xdr:row>38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8CE0F8-D056-4216-A4F8-9E108095B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43350" y="5991226"/>
          <a:ext cx="2290747" cy="1247774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457200</xdr:colOff>
      <xdr:row>26</xdr:row>
      <xdr:rowOff>171450</xdr:rowOff>
    </xdr:from>
    <xdr:to>
      <xdr:col>7</xdr:col>
      <xdr:colOff>512064</xdr:colOff>
      <xdr:row>30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8D9FBA-224B-417B-AEB2-C6B8BD894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05200" y="5124450"/>
          <a:ext cx="1274064" cy="76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238125</xdr:colOff>
      <xdr:row>26</xdr:row>
      <xdr:rowOff>133351</xdr:rowOff>
    </xdr:from>
    <xdr:to>
      <xdr:col>12</xdr:col>
      <xdr:colOff>339779</xdr:colOff>
      <xdr:row>31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B771E8B-1A90-4B37-8293-D2586309C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14925" y="5086351"/>
          <a:ext cx="2540054" cy="819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3</xdr:col>
      <xdr:colOff>133351</xdr:colOff>
      <xdr:row>5</xdr:row>
      <xdr:rowOff>185589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632537-B17C-40DE-9E78-606B306E9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1962150" cy="113808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0</xdr:row>
      <xdr:rowOff>9526</xdr:rowOff>
    </xdr:from>
    <xdr:to>
      <xdr:col>6</xdr:col>
      <xdr:colOff>495300</xdr:colOff>
      <xdr:row>6</xdr:row>
      <xdr:rowOff>93054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C80A2F-6C1E-41B9-AED2-922B234D7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7875" y="9526"/>
          <a:ext cx="2105025" cy="1226528"/>
        </a:xfrm>
        <a:prstGeom prst="rect">
          <a:avLst/>
        </a:prstGeom>
      </xdr:spPr>
    </xdr:pic>
    <xdr:clientData/>
  </xdr:twoCellAnchor>
  <xdr:twoCellAnchor editAs="oneCell">
    <xdr:from>
      <xdr:col>0</xdr:col>
      <xdr:colOff>85726</xdr:colOff>
      <xdr:row>7</xdr:row>
      <xdr:rowOff>28576</xdr:rowOff>
    </xdr:from>
    <xdr:to>
      <xdr:col>5</xdr:col>
      <xdr:colOff>238126</xdr:colOff>
      <xdr:row>15</xdr:row>
      <xdr:rowOff>110471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0B2C2F9-E788-4490-B592-C6A0634F0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6" y="1362076"/>
          <a:ext cx="3200400" cy="160589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0</xdr:row>
      <xdr:rowOff>47625</xdr:rowOff>
    </xdr:from>
    <xdr:to>
      <xdr:col>7</xdr:col>
      <xdr:colOff>76992</xdr:colOff>
      <xdr:row>3</xdr:row>
      <xdr:rowOff>123825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363BED-8D10-41E1-BABE-DFB8A128C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47625"/>
          <a:ext cx="4925217" cy="6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3</xdr:row>
      <xdr:rowOff>171450</xdr:rowOff>
    </xdr:from>
    <xdr:to>
      <xdr:col>3</xdr:col>
      <xdr:colOff>447676</xdr:colOff>
      <xdr:row>10</xdr:row>
      <xdr:rowOff>71093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E12AEA-603E-475D-A75C-FD7AF4553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1" y="742950"/>
          <a:ext cx="2838450" cy="1233143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10</xdr:row>
      <xdr:rowOff>152400</xdr:rowOff>
    </xdr:from>
    <xdr:to>
      <xdr:col>5</xdr:col>
      <xdr:colOff>170799</xdr:colOff>
      <xdr:row>16</xdr:row>
      <xdr:rowOff>133350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7888A1-380A-4543-8724-241AF293F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6" y="2057400"/>
          <a:ext cx="3752198" cy="1123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17</xdr:row>
      <xdr:rowOff>104775</xdr:rowOff>
    </xdr:from>
    <xdr:to>
      <xdr:col>5</xdr:col>
      <xdr:colOff>583525</xdr:colOff>
      <xdr:row>28</xdr:row>
      <xdr:rowOff>170913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0EE353D-27FE-406E-A06D-360E74964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250" y="3343275"/>
          <a:ext cx="4136350" cy="21616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7</xdr:col>
      <xdr:colOff>57150</xdr:colOff>
      <xdr:row>34</xdr:row>
      <xdr:rowOff>167428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65425A-D991-4C05-8FE2-99784B863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715000"/>
          <a:ext cx="4924425" cy="929428"/>
        </a:xfrm>
        <a:prstGeom prst="rect">
          <a:avLst/>
        </a:prstGeom>
      </xdr:spPr>
    </xdr:pic>
    <xdr:clientData/>
  </xdr:twoCellAnchor>
  <xdr:twoCellAnchor editAs="oneCell">
    <xdr:from>
      <xdr:col>8</xdr:col>
      <xdr:colOff>228601</xdr:colOff>
      <xdr:row>30</xdr:row>
      <xdr:rowOff>47626</xdr:rowOff>
    </xdr:from>
    <xdr:to>
      <xdr:col>10</xdr:col>
      <xdr:colOff>400757</xdr:colOff>
      <xdr:row>34</xdr:row>
      <xdr:rowOff>9526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D57C81-0CDA-47D9-8105-9944EABD5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05401" y="5762626"/>
          <a:ext cx="1581856" cy="723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571500</xdr:colOff>
      <xdr:row>44</xdr:row>
      <xdr:rowOff>166195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2AAFB27-00D4-40A1-A8E8-9D46FA93B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8001000"/>
          <a:ext cx="1781175" cy="5471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45</xdr:row>
      <xdr:rowOff>85725</xdr:rowOff>
    </xdr:from>
    <xdr:to>
      <xdr:col>2</xdr:col>
      <xdr:colOff>88727</xdr:colOff>
      <xdr:row>47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004CC3F-571C-4040-A931-4D40C6FC4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6" y="8658225"/>
          <a:ext cx="1841326" cy="46672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48</xdr:row>
      <xdr:rowOff>85726</xdr:rowOff>
    </xdr:from>
    <xdr:to>
      <xdr:col>6</xdr:col>
      <xdr:colOff>3649</xdr:colOff>
      <xdr:row>54</xdr:row>
      <xdr:rowOff>66676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92A942-8CBD-4DE0-A64E-ED143FD1B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576" y="9229726"/>
          <a:ext cx="4232748" cy="112395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54</xdr:row>
      <xdr:rowOff>142875</xdr:rowOff>
    </xdr:from>
    <xdr:to>
      <xdr:col>7</xdr:col>
      <xdr:colOff>15510</xdr:colOff>
      <xdr:row>59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C35C817-DD42-40EC-B8AA-2051B2804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150" y="10429875"/>
          <a:ext cx="4825635" cy="923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6</xdr:col>
      <xdr:colOff>466725</xdr:colOff>
      <xdr:row>68</xdr:row>
      <xdr:rowOff>86429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5249A8D-1B50-448C-8FA3-1A11442B8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1430000"/>
          <a:ext cx="4724400" cy="161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10</xdr:col>
      <xdr:colOff>427711</xdr:colOff>
      <xdr:row>91</xdr:row>
      <xdr:rowOff>85214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442A68E-77D8-42EE-9C24-E374B2F70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3335000"/>
          <a:ext cx="7314286" cy="4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10</xdr:col>
      <xdr:colOff>532473</xdr:colOff>
      <xdr:row>132</xdr:row>
      <xdr:rowOff>9000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CD32AFA-5375-45F3-8903-738A77ACE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0955000"/>
          <a:ext cx="7419048" cy="4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4</xdr:col>
      <xdr:colOff>561975</xdr:colOff>
      <xdr:row>144</xdr:row>
      <xdr:rowOff>52861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710FE70-B7B2-4605-89D7-BCEE8A22A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5717500"/>
          <a:ext cx="3600450" cy="176736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146</xdr:row>
      <xdr:rowOff>0</xdr:rowOff>
    </xdr:from>
    <xdr:to>
      <xdr:col>1</xdr:col>
      <xdr:colOff>600076</xdr:colOff>
      <xdr:row>155</xdr:row>
      <xdr:rowOff>21245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56658A-ABAF-4851-85E1-491474F96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" y="27813000"/>
          <a:ext cx="1809750" cy="17357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6</xdr:col>
      <xdr:colOff>95250</xdr:colOff>
      <xdr:row>162</xdr:row>
      <xdr:rowOff>581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A3533C0-6F02-48BB-BCCC-FF3431699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29718000"/>
          <a:ext cx="3143250" cy="11435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6</xdr:col>
      <xdr:colOff>359474</xdr:colOff>
      <xdr:row>170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8A18388-F151-4EED-A51A-35FFC56A1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31051500"/>
          <a:ext cx="3407474" cy="14763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172</xdr:row>
      <xdr:rowOff>0</xdr:rowOff>
    </xdr:from>
    <xdr:to>
      <xdr:col>4</xdr:col>
      <xdr:colOff>466726</xdr:colOff>
      <xdr:row>183</xdr:row>
      <xdr:rowOff>54749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33B341-38D3-4630-97ED-27BFC3D41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" y="32766000"/>
          <a:ext cx="3505200" cy="215024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186</xdr:row>
      <xdr:rowOff>1</xdr:rowOff>
    </xdr:from>
    <xdr:to>
      <xdr:col>8</xdr:col>
      <xdr:colOff>409576</xdr:colOff>
      <xdr:row>200</xdr:row>
      <xdr:rowOff>36273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573FFCD-6AB9-417F-9A2C-909FE3D36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" y="35433001"/>
          <a:ext cx="5886450" cy="27032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95251</xdr:rowOff>
    </xdr:from>
    <xdr:to>
      <xdr:col>6</xdr:col>
      <xdr:colOff>227534</xdr:colOff>
      <xdr:row>209</xdr:row>
      <xdr:rowOff>95250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AB64121-3920-43A8-8D17-C114FE3C2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38195251"/>
          <a:ext cx="4485209" cy="17144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6</xdr:col>
      <xdr:colOff>374167</xdr:colOff>
      <xdr:row>231</xdr:row>
      <xdr:rowOff>114300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7F06229-6673-418B-8C22-F1AF1A1F0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3434000"/>
          <a:ext cx="4631842" cy="685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3</xdr:col>
      <xdr:colOff>657226</xdr:colOff>
      <xdr:row>8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BCE639-F1EB-4FD4-8116-527CCA2E9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0"/>
          <a:ext cx="3429000" cy="1466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95250</xdr:rowOff>
    </xdr:from>
    <xdr:to>
      <xdr:col>3</xdr:col>
      <xdr:colOff>581025</xdr:colOff>
      <xdr:row>19</xdr:row>
      <xdr:rowOff>74229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F845D7-643A-4120-881C-A06EF7D79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90750"/>
          <a:ext cx="3352800" cy="15029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47625</xdr:rowOff>
    </xdr:from>
    <xdr:to>
      <xdr:col>3</xdr:col>
      <xdr:colOff>276225</xdr:colOff>
      <xdr:row>32</xdr:row>
      <xdr:rowOff>148478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5A8FE2-722D-49CA-8984-FA4379C4F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429125"/>
          <a:ext cx="3048000" cy="1815353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35</xdr:row>
      <xdr:rowOff>180975</xdr:rowOff>
    </xdr:from>
    <xdr:to>
      <xdr:col>2</xdr:col>
      <xdr:colOff>333376</xdr:colOff>
      <xdr:row>44</xdr:row>
      <xdr:rowOff>117182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1B896F-F7EB-4AEB-9520-F3596B695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1" y="6848475"/>
          <a:ext cx="2133600" cy="16507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3</xdr:col>
      <xdr:colOff>379416</xdr:colOff>
      <xdr:row>56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69EB045-8275-4D08-B6F0-9A1AFDB80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8953500"/>
          <a:ext cx="3151191" cy="1866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76201</xdr:rowOff>
    </xdr:from>
    <xdr:to>
      <xdr:col>4</xdr:col>
      <xdr:colOff>390525</xdr:colOff>
      <xdr:row>69</xdr:row>
      <xdr:rowOff>156643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0D3F240-924B-40A0-9604-67394522E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315701"/>
          <a:ext cx="4295775" cy="19854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3</xdr:col>
      <xdr:colOff>990600</xdr:colOff>
      <xdr:row>86</xdr:row>
      <xdr:rowOff>148081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77EDDEE-0717-4261-926C-762C1A832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4097000"/>
          <a:ext cx="3762375" cy="24340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4</xdr:col>
      <xdr:colOff>447131</xdr:colOff>
      <xdr:row>104</xdr:row>
      <xdr:rowOff>190238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65CEB6-C611-4D6F-A5CA-161B73367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7907000"/>
          <a:ext cx="4352381" cy="2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5</xdr:col>
      <xdr:colOff>38100</xdr:colOff>
      <xdr:row>115</xdr:row>
      <xdr:rowOff>127497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22AB45E-EB4A-4069-BEA8-08FD14D16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0383500"/>
          <a:ext cx="4552950" cy="16514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6</xdr:col>
      <xdr:colOff>419100</xdr:colOff>
      <xdr:row>135</xdr:row>
      <xdr:rowOff>109679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D1BA7F-3B02-4ACA-8D36-EFD49CCB2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3241000"/>
          <a:ext cx="5543550" cy="25861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</xdr:row>
      <xdr:rowOff>1</xdr:rowOff>
    </xdr:from>
    <xdr:to>
      <xdr:col>4</xdr:col>
      <xdr:colOff>209550</xdr:colOff>
      <xdr:row>145</xdr:row>
      <xdr:rowOff>123717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F570C3B-7190-4C47-85CF-2F02F08FA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6289001"/>
          <a:ext cx="4114800" cy="1457216"/>
        </a:xfrm>
        <a:prstGeom prst="rect">
          <a:avLst/>
        </a:prstGeom>
      </xdr:spPr>
    </xdr:pic>
    <xdr:clientData/>
  </xdr:twoCellAnchor>
  <xdr:twoCellAnchor editAs="oneCell">
    <xdr:from>
      <xdr:col>6</xdr:col>
      <xdr:colOff>257175</xdr:colOff>
      <xdr:row>137</xdr:row>
      <xdr:rowOff>95250</xdr:rowOff>
    </xdr:from>
    <xdr:to>
      <xdr:col>13</xdr:col>
      <xdr:colOff>0</xdr:colOff>
      <xdr:row>146</xdr:row>
      <xdr:rowOff>125146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1A22245-10A1-4055-A629-AF366D546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295775" y="26193750"/>
          <a:ext cx="4010025" cy="17443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1</xdr:rowOff>
    </xdr:from>
    <xdr:to>
      <xdr:col>3</xdr:col>
      <xdr:colOff>304800</xdr:colOff>
      <xdr:row>165</xdr:row>
      <xdr:rowOff>166719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5BAE21E-121E-474D-8498-E48696BB9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9718001"/>
          <a:ext cx="3076575" cy="188121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172</xdr:row>
      <xdr:rowOff>171450</xdr:rowOff>
    </xdr:from>
    <xdr:to>
      <xdr:col>3</xdr:col>
      <xdr:colOff>1224</xdr:colOff>
      <xdr:row>181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B6C4A38-D7C6-4A9A-B8C6-0A2198BF0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0501" y="32937450"/>
          <a:ext cx="2582498" cy="1657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1</xdr:rowOff>
    </xdr:from>
    <xdr:to>
      <xdr:col>7</xdr:col>
      <xdr:colOff>27361</xdr:colOff>
      <xdr:row>199</xdr:row>
      <xdr:rowOff>19051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9074597-6CCB-4567-964B-18099A5F0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433001"/>
          <a:ext cx="5761411" cy="2495550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199</xdr:row>
      <xdr:rowOff>152400</xdr:rowOff>
    </xdr:from>
    <xdr:to>
      <xdr:col>7</xdr:col>
      <xdr:colOff>179375</xdr:colOff>
      <xdr:row>206</xdr:row>
      <xdr:rowOff>161925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50DE274-D277-4FCB-8E64-FF1664EB6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52650" y="38061900"/>
          <a:ext cx="3427400" cy="1343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6</xdr:col>
      <xdr:colOff>314325</xdr:colOff>
      <xdr:row>231</xdr:row>
      <xdr:rowOff>13168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53D79E2-D953-45D0-A93B-106A502A6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1529000"/>
          <a:ext cx="5438775" cy="2489668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233</xdr:row>
      <xdr:rowOff>47626</xdr:rowOff>
    </xdr:from>
    <xdr:to>
      <xdr:col>7</xdr:col>
      <xdr:colOff>257175</xdr:colOff>
      <xdr:row>239</xdr:row>
      <xdr:rowOff>94760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D23097F-CECA-477A-A423-24FFF5DB5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76500" y="44434126"/>
          <a:ext cx="3514725" cy="119013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243</xdr:row>
      <xdr:rowOff>0</xdr:rowOff>
    </xdr:from>
    <xdr:to>
      <xdr:col>7</xdr:col>
      <xdr:colOff>76201</xdr:colOff>
      <xdr:row>251</xdr:row>
      <xdr:rowOff>76848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0696D2-A39B-4646-9990-869240018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" y="46291500"/>
          <a:ext cx="5810250" cy="1600848"/>
        </a:xfrm>
        <a:prstGeom prst="rect">
          <a:avLst/>
        </a:prstGeom>
      </xdr:spPr>
    </xdr:pic>
    <xdr:clientData/>
  </xdr:twoCellAnchor>
  <xdr:twoCellAnchor editAs="oneCell">
    <xdr:from>
      <xdr:col>2</xdr:col>
      <xdr:colOff>781050</xdr:colOff>
      <xdr:row>252</xdr:row>
      <xdr:rowOff>0</xdr:rowOff>
    </xdr:from>
    <xdr:to>
      <xdr:col>7</xdr:col>
      <xdr:colOff>582652</xdr:colOff>
      <xdr:row>258</xdr:row>
      <xdr:rowOff>180975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94BC709-109B-4F50-A24E-92BA07C98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657475" y="48006000"/>
          <a:ext cx="3659227" cy="1323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264</xdr:row>
      <xdr:rowOff>0</xdr:rowOff>
    </xdr:from>
    <xdr:to>
      <xdr:col>4</xdr:col>
      <xdr:colOff>533400</xdr:colOff>
      <xdr:row>276</xdr:row>
      <xdr:rowOff>169811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A423CFD-BF89-41E8-BCB5-866C0017F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50292000"/>
          <a:ext cx="4438650" cy="2455811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285751</xdr:colOff>
      <xdr:row>291</xdr:row>
      <xdr:rowOff>28575</xdr:rowOff>
    </xdr:from>
    <xdr:to>
      <xdr:col>8</xdr:col>
      <xdr:colOff>343282</xdr:colOff>
      <xdr:row>299</xdr:row>
      <xdr:rowOff>180975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29C2545-F8F7-4BA6-921B-EB79A85EA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962276" y="55464075"/>
          <a:ext cx="3629406" cy="1676400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300</xdr:row>
      <xdr:rowOff>85725</xdr:rowOff>
    </xdr:from>
    <xdr:to>
      <xdr:col>8</xdr:col>
      <xdr:colOff>371475</xdr:colOff>
      <xdr:row>308</xdr:row>
      <xdr:rowOff>114444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82E6219-6694-4CEF-B81F-A68AC73AAF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14650" y="57235725"/>
          <a:ext cx="3705225" cy="15527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8</xdr:col>
      <xdr:colOff>396035</xdr:colOff>
      <xdr:row>19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C4C541-E886-4375-84D0-9B9B24263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5272834" cy="3629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0BB79-DD6C-4BE8-8BAE-2E38CF5CC9DB}">
  <dimension ref="A1"/>
  <sheetViews>
    <sheetView workbookViewId="0">
      <selection activeCell="Q13" sqref="Q13"/>
    </sheetView>
  </sheetViews>
  <sheetFormatPr defaultRowHeight="15" x14ac:dyDescent="0.25"/>
  <cols>
    <col min="2" max="2" width="39.85546875" bestFit="1" customWidth="1"/>
  </cols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F0A7B9-D6EE-4FC7-B6D9-F88B74126280}">
  <dimension ref="A1"/>
  <sheetViews>
    <sheetView tabSelected="1" workbookViewId="0">
      <selection activeCell="O15" sqref="O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C0AC8-5017-41C7-82BA-977325B4F141}">
  <dimension ref="B9:H24"/>
  <sheetViews>
    <sheetView workbookViewId="0">
      <selection activeCell="B18" sqref="B18:I25"/>
    </sheetView>
  </sheetViews>
  <sheetFormatPr defaultRowHeight="15" x14ac:dyDescent="0.25"/>
  <cols>
    <col min="3" max="3" width="19.5703125" customWidth="1"/>
  </cols>
  <sheetData>
    <row r="9" spans="2:3" x14ac:dyDescent="0.25">
      <c r="B9" s="2" t="s">
        <v>4</v>
      </c>
      <c r="C9" s="2"/>
    </row>
    <row r="10" spans="2:3" x14ac:dyDescent="0.25">
      <c r="B10" s="4" t="s">
        <v>0</v>
      </c>
      <c r="C10" s="4" t="s">
        <v>2</v>
      </c>
    </row>
    <row r="11" spans="2:3" x14ac:dyDescent="0.25">
      <c r="B11" s="4">
        <v>0</v>
      </c>
      <c r="C11" s="4">
        <v>1</v>
      </c>
    </row>
    <row r="12" spans="2:3" x14ac:dyDescent="0.25">
      <c r="B12" s="4">
        <v>1</v>
      </c>
      <c r="C12" s="4">
        <v>2</v>
      </c>
    </row>
    <row r="13" spans="2:3" x14ac:dyDescent="0.25">
      <c r="B13" s="4">
        <v>2</v>
      </c>
      <c r="C13" s="4">
        <v>4</v>
      </c>
    </row>
    <row r="14" spans="2:3" x14ac:dyDescent="0.25">
      <c r="B14" s="4">
        <v>3</v>
      </c>
      <c r="C14" s="4">
        <v>2</v>
      </c>
    </row>
    <row r="15" spans="2:3" x14ac:dyDescent="0.25">
      <c r="B15" s="4">
        <v>4</v>
      </c>
      <c r="C15" s="4">
        <v>1</v>
      </c>
    </row>
    <row r="16" spans="2:3" x14ac:dyDescent="0.25">
      <c r="B16" s="4" t="s">
        <v>3</v>
      </c>
      <c r="C16" s="4">
        <f>SUM(C11:C15)</f>
        <v>10</v>
      </c>
    </row>
    <row r="18" spans="2:8" x14ac:dyDescent="0.25">
      <c r="B18" s="2" t="s">
        <v>5</v>
      </c>
      <c r="C18" s="2"/>
    </row>
    <row r="19" spans="2:8" x14ac:dyDescent="0.25">
      <c r="B19" s="4" t="s">
        <v>6</v>
      </c>
      <c r="C19" s="4" t="s">
        <v>2</v>
      </c>
    </row>
    <row r="20" spans="2:8" x14ac:dyDescent="0.25">
      <c r="B20" s="6" t="s">
        <v>7</v>
      </c>
      <c r="C20" s="4">
        <v>3</v>
      </c>
      <c r="E20" s="7">
        <v>2.1</v>
      </c>
      <c r="F20" s="7">
        <v>2.5</v>
      </c>
      <c r="G20" s="7">
        <v>3.4</v>
      </c>
      <c r="H20" s="7">
        <v>4</v>
      </c>
    </row>
    <row r="21" spans="2:8" x14ac:dyDescent="0.25">
      <c r="B21" s="6" t="s">
        <v>8</v>
      </c>
      <c r="C21" s="4">
        <v>5</v>
      </c>
      <c r="E21" s="7">
        <v>4.5</v>
      </c>
      <c r="F21" s="7">
        <v>4.5999999999999996</v>
      </c>
      <c r="G21" s="7">
        <v>4.7</v>
      </c>
      <c r="H21" s="7">
        <v>4.8</v>
      </c>
    </row>
    <row r="22" spans="2:8" x14ac:dyDescent="0.25">
      <c r="B22" s="6" t="s">
        <v>9</v>
      </c>
      <c r="C22" s="4">
        <v>4</v>
      </c>
      <c r="E22" s="7">
        <v>6</v>
      </c>
      <c r="F22" s="7">
        <v>6.1</v>
      </c>
      <c r="G22" s="7">
        <v>6.9</v>
      </c>
      <c r="H22" s="7">
        <v>7</v>
      </c>
    </row>
    <row r="23" spans="2:8" x14ac:dyDescent="0.25">
      <c r="B23" s="6" t="s">
        <v>10</v>
      </c>
      <c r="C23" s="4">
        <v>4</v>
      </c>
      <c r="E23" s="7">
        <v>8.1</v>
      </c>
      <c r="F23" s="7">
        <v>9</v>
      </c>
      <c r="G23" s="7">
        <v>9.3000000000000007</v>
      </c>
      <c r="H23" s="7">
        <v>9.5</v>
      </c>
    </row>
    <row r="24" spans="2:8" x14ac:dyDescent="0.25">
      <c r="B24" s="4" t="s">
        <v>3</v>
      </c>
      <c r="C24" s="4">
        <f>SUM(C19:C23)</f>
        <v>16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A1A540-F84D-48F2-9366-38C7318D385A}">
  <dimension ref="A1:E17"/>
  <sheetViews>
    <sheetView workbookViewId="0">
      <selection activeCell="I5" sqref="I5"/>
    </sheetView>
  </sheetViews>
  <sheetFormatPr defaultRowHeight="15" x14ac:dyDescent="0.25"/>
  <cols>
    <col min="2" max="2" width="17.85546875" bestFit="1" customWidth="1"/>
    <col min="9" max="9" width="14.42578125" customWidth="1"/>
  </cols>
  <sheetData>
    <row r="1" spans="1:5" x14ac:dyDescent="0.25">
      <c r="A1" t="s">
        <v>11</v>
      </c>
      <c r="B1" t="s">
        <v>13</v>
      </c>
    </row>
    <row r="2" spans="1:5" x14ac:dyDescent="0.25">
      <c r="A2" t="s">
        <v>12</v>
      </c>
      <c r="B2" t="s">
        <v>14</v>
      </c>
    </row>
    <row r="3" spans="1:5" x14ac:dyDescent="0.25">
      <c r="A3" t="s">
        <v>15</v>
      </c>
      <c r="B3" t="s">
        <v>16</v>
      </c>
    </row>
    <row r="4" spans="1:5" x14ac:dyDescent="0.25">
      <c r="A4" t="s">
        <v>17</v>
      </c>
      <c r="B4" t="s">
        <v>18</v>
      </c>
    </row>
    <row r="6" spans="1:5" x14ac:dyDescent="0.25">
      <c r="A6" s="4" t="s">
        <v>0</v>
      </c>
      <c r="B6" s="4" t="s">
        <v>11</v>
      </c>
      <c r="C6" s="4" t="s">
        <v>12</v>
      </c>
      <c r="D6" s="4" t="s">
        <v>15</v>
      </c>
      <c r="E6" s="4" t="s">
        <v>17</v>
      </c>
    </row>
    <row r="7" spans="1:5" x14ac:dyDescent="0.25">
      <c r="A7" s="4">
        <v>0</v>
      </c>
      <c r="B7" s="4">
        <v>1</v>
      </c>
      <c r="C7" s="8">
        <f>B7/$B$12</f>
        <v>0.1</v>
      </c>
      <c r="D7" s="10">
        <f>B7</f>
        <v>1</v>
      </c>
      <c r="E7" s="8">
        <f>D7/$B$12</f>
        <v>0.1</v>
      </c>
    </row>
    <row r="8" spans="1:5" x14ac:dyDescent="0.25">
      <c r="A8" s="4">
        <v>1</v>
      </c>
      <c r="B8" s="12">
        <v>2</v>
      </c>
      <c r="C8" s="13">
        <f>B8/$B$12</f>
        <v>0.2</v>
      </c>
      <c r="D8" s="14">
        <f>D7+B8</f>
        <v>3</v>
      </c>
      <c r="E8" s="13">
        <f t="shared" ref="E8:E11" si="0">D8/$B$12</f>
        <v>0.3</v>
      </c>
    </row>
    <row r="9" spans="1:5" x14ac:dyDescent="0.25">
      <c r="A9" s="4">
        <v>2</v>
      </c>
      <c r="B9" s="4">
        <v>4</v>
      </c>
      <c r="C9" s="8">
        <f>B9/$B$12</f>
        <v>0.4</v>
      </c>
      <c r="D9" s="10">
        <f t="shared" ref="D9:D11" si="1">D8+B9</f>
        <v>7</v>
      </c>
      <c r="E9" s="8">
        <f t="shared" si="0"/>
        <v>0.7</v>
      </c>
    </row>
    <row r="10" spans="1:5" x14ac:dyDescent="0.25">
      <c r="A10" s="4">
        <v>3</v>
      </c>
      <c r="B10" s="4">
        <v>2</v>
      </c>
      <c r="C10" s="8">
        <f>B10/$B$12</f>
        <v>0.2</v>
      </c>
      <c r="D10" s="10">
        <f t="shared" si="1"/>
        <v>9</v>
      </c>
      <c r="E10" s="8">
        <f t="shared" si="0"/>
        <v>0.9</v>
      </c>
    </row>
    <row r="11" spans="1:5" x14ac:dyDescent="0.25">
      <c r="A11" s="4">
        <v>4</v>
      </c>
      <c r="B11" s="4">
        <v>1</v>
      </c>
      <c r="C11" s="8">
        <f>B11/$B$12</f>
        <v>0.1</v>
      </c>
      <c r="D11" s="10">
        <f t="shared" si="1"/>
        <v>10</v>
      </c>
      <c r="E11" s="8">
        <f t="shared" si="0"/>
        <v>1</v>
      </c>
    </row>
    <row r="12" spans="1:5" x14ac:dyDescent="0.25">
      <c r="B12" s="1">
        <f>SUM(B7:B11)</f>
        <v>10</v>
      </c>
      <c r="C12" s="9">
        <f>SUM(C7:C11)</f>
        <v>1.0000000000000002</v>
      </c>
      <c r="D12" s="11"/>
      <c r="E12" s="11"/>
    </row>
    <row r="14" spans="1:5" x14ac:dyDescent="0.25">
      <c r="B14" t="s">
        <v>19</v>
      </c>
      <c r="C14" t="s">
        <v>22</v>
      </c>
    </row>
    <row r="15" spans="1:5" x14ac:dyDescent="0.25">
      <c r="B15" t="s">
        <v>20</v>
      </c>
      <c r="C15" t="s">
        <v>21</v>
      </c>
    </row>
    <row r="16" spans="1:5" x14ac:dyDescent="0.25">
      <c r="B16" t="s">
        <v>23</v>
      </c>
      <c r="C16" t="s">
        <v>24</v>
      </c>
    </row>
    <row r="17" spans="2:3" x14ac:dyDescent="0.25">
      <c r="B17" t="s">
        <v>25</v>
      </c>
      <c r="C17" t="s">
        <v>24</v>
      </c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type="column" displayEmptyCellsAs="gap" xr2:uid="{1BD6E22D-FA50-4802-8A0D-FBA08E7587D1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Frequencia!B7:B11</xm:f>
              <xm:sqref>I5</xm:sqref>
            </x14:sparkline>
          </x14:sparklines>
        </x14:sparklineGroup>
      </x14:sparklineGroup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ACCFAC-C9FF-45D9-9B0F-815A185B5032}">
  <dimension ref="A1:Y72"/>
  <sheetViews>
    <sheetView topLeftCell="A49" workbookViewId="0">
      <selection activeCell="A58" sqref="A58:E72"/>
    </sheetView>
  </sheetViews>
  <sheetFormatPr defaultRowHeight="15" x14ac:dyDescent="0.25"/>
  <cols>
    <col min="1" max="1" width="13.28515625" bestFit="1" customWidth="1"/>
    <col min="3" max="3" width="12.85546875" customWidth="1"/>
  </cols>
  <sheetData>
    <row r="1" spans="1:9" x14ac:dyDescent="0.25">
      <c r="A1" s="47" t="s">
        <v>30</v>
      </c>
      <c r="B1" s="47"/>
      <c r="C1" s="47"/>
    </row>
    <row r="3" spans="1:9" x14ac:dyDescent="0.25">
      <c r="A3" s="3" t="s">
        <v>0</v>
      </c>
      <c r="B3" s="3">
        <v>2</v>
      </c>
      <c r="C3" s="3">
        <v>3</v>
      </c>
      <c r="D3" s="3">
        <v>1</v>
      </c>
      <c r="E3" s="3">
        <v>0</v>
      </c>
      <c r="F3" s="3">
        <v>3</v>
      </c>
      <c r="G3" s="3">
        <v>4</v>
      </c>
      <c r="H3" s="3">
        <v>3</v>
      </c>
      <c r="I3" s="3">
        <v>2</v>
      </c>
    </row>
    <row r="5" spans="1:9" x14ac:dyDescent="0.25">
      <c r="A5" t="s">
        <v>26</v>
      </c>
    </row>
    <row r="7" spans="1:9" x14ac:dyDescent="0.25">
      <c r="A7" t="s">
        <v>28</v>
      </c>
      <c r="B7">
        <f>SUM(B3:I3)</f>
        <v>18</v>
      </c>
    </row>
    <row r="8" spans="1:9" x14ac:dyDescent="0.25">
      <c r="A8" t="s">
        <v>29</v>
      </c>
      <c r="B8">
        <f>COUNT(B3:I3)</f>
        <v>8</v>
      </c>
    </row>
    <row r="10" spans="1:9" x14ac:dyDescent="0.25">
      <c r="A10" t="s">
        <v>27</v>
      </c>
      <c r="B10">
        <f>B7/B8</f>
        <v>2.25</v>
      </c>
      <c r="D10">
        <f>AVERAGE(B3:I3)</f>
        <v>2.25</v>
      </c>
    </row>
    <row r="13" spans="1:9" x14ac:dyDescent="0.25">
      <c r="A13" s="47" t="s">
        <v>31</v>
      </c>
      <c r="B13" s="47"/>
      <c r="C13" s="47"/>
    </row>
    <row r="15" spans="1:9" x14ac:dyDescent="0.25">
      <c r="A15" s="3" t="s">
        <v>0</v>
      </c>
      <c r="B15" s="3">
        <v>0</v>
      </c>
      <c r="C15" s="3">
        <v>1</v>
      </c>
      <c r="D15" s="3">
        <v>2</v>
      </c>
      <c r="E15" s="3">
        <v>2</v>
      </c>
      <c r="F15" s="15">
        <v>3</v>
      </c>
      <c r="G15" s="15">
        <v>3</v>
      </c>
      <c r="H15" s="15">
        <v>3</v>
      </c>
      <c r="I15" s="3">
        <v>4</v>
      </c>
    </row>
    <row r="17" spans="1:9" x14ac:dyDescent="0.25">
      <c r="A17" t="s">
        <v>32</v>
      </c>
      <c r="B17">
        <f>_xlfn.MODE.SNGL(A15:H15)</f>
        <v>3</v>
      </c>
    </row>
    <row r="19" spans="1:9" x14ac:dyDescent="0.25">
      <c r="A19" s="47" t="s">
        <v>38</v>
      </c>
      <c r="B19" s="47"/>
      <c r="C19" s="47"/>
    </row>
    <row r="21" spans="1:9" x14ac:dyDescent="0.25">
      <c r="A21" s="3" t="s">
        <v>0</v>
      </c>
      <c r="B21" s="3">
        <v>0</v>
      </c>
      <c r="C21" s="3">
        <v>1</v>
      </c>
      <c r="D21" s="3">
        <v>2</v>
      </c>
      <c r="E21" s="15">
        <v>2</v>
      </c>
      <c r="F21" s="15">
        <v>3</v>
      </c>
      <c r="G21" s="16">
        <v>3</v>
      </c>
      <c r="H21" s="16">
        <v>3</v>
      </c>
      <c r="I21" s="3">
        <v>4</v>
      </c>
    </row>
    <row r="22" spans="1:9" x14ac:dyDescent="0.25">
      <c r="E22">
        <v>4</v>
      </c>
      <c r="F22">
        <v>5</v>
      </c>
    </row>
    <row r="23" spans="1:9" x14ac:dyDescent="0.25">
      <c r="A23" t="s">
        <v>39</v>
      </c>
      <c r="B23">
        <f>(B8+1)/2</f>
        <v>4.5</v>
      </c>
      <c r="D23">
        <f>(2+3)/2</f>
        <v>2.5</v>
      </c>
      <c r="G23">
        <f>MEDIAN(B21:I21)</f>
        <v>2.5</v>
      </c>
    </row>
    <row r="26" spans="1:9" x14ac:dyDescent="0.25">
      <c r="A26" s="47" t="s">
        <v>33</v>
      </c>
      <c r="B26" s="47"/>
      <c r="C26" s="47"/>
    </row>
    <row r="28" spans="1:9" x14ac:dyDescent="0.25">
      <c r="A28" s="4" t="s">
        <v>0</v>
      </c>
      <c r="B28" s="4" t="s">
        <v>2</v>
      </c>
      <c r="C28" s="4" t="s">
        <v>36</v>
      </c>
    </row>
    <row r="29" spans="1:9" x14ac:dyDescent="0.25">
      <c r="A29" s="4">
        <v>0</v>
      </c>
      <c r="B29" s="4">
        <v>1</v>
      </c>
      <c r="C29" s="4">
        <f>A29*B29</f>
        <v>0</v>
      </c>
    </row>
    <row r="30" spans="1:9" x14ac:dyDescent="0.25">
      <c r="A30" s="4">
        <v>1</v>
      </c>
      <c r="B30" s="4">
        <v>1</v>
      </c>
      <c r="C30" s="4">
        <f t="shared" ref="C30:C33" si="0">A30*B30</f>
        <v>1</v>
      </c>
    </row>
    <row r="31" spans="1:9" x14ac:dyDescent="0.25">
      <c r="A31" s="4">
        <v>2</v>
      </c>
      <c r="B31" s="4">
        <v>2</v>
      </c>
      <c r="C31" s="4">
        <f t="shared" si="0"/>
        <v>4</v>
      </c>
    </row>
    <row r="32" spans="1:9" x14ac:dyDescent="0.25">
      <c r="A32" s="4">
        <v>3</v>
      </c>
      <c r="B32" s="12">
        <v>3</v>
      </c>
      <c r="C32" s="4">
        <f t="shared" si="0"/>
        <v>9</v>
      </c>
    </row>
    <row r="33" spans="1:25" x14ac:dyDescent="0.25">
      <c r="A33" s="4">
        <v>4</v>
      </c>
      <c r="B33" s="4">
        <v>1</v>
      </c>
      <c r="C33" s="4">
        <f t="shared" si="0"/>
        <v>4</v>
      </c>
    </row>
    <row r="34" spans="1:25" x14ac:dyDescent="0.25">
      <c r="A34" s="4" t="s">
        <v>34</v>
      </c>
      <c r="B34" s="4">
        <f>SUM(B29:B33)</f>
        <v>8</v>
      </c>
      <c r="C34" s="4">
        <f>SUM(C29:C33)</f>
        <v>18</v>
      </c>
    </row>
    <row r="36" spans="1:25" x14ac:dyDescent="0.25">
      <c r="A36" t="s">
        <v>35</v>
      </c>
    </row>
    <row r="38" spans="1:25" x14ac:dyDescent="0.25">
      <c r="A38" t="s">
        <v>37</v>
      </c>
      <c r="B38">
        <f>C34/B34</f>
        <v>2.25</v>
      </c>
    </row>
    <row r="39" spans="1:25" x14ac:dyDescent="0.25">
      <c r="A39" t="s">
        <v>32</v>
      </c>
      <c r="B39">
        <v>3</v>
      </c>
    </row>
    <row r="41" spans="1:25" x14ac:dyDescent="0.25">
      <c r="A41" s="47" t="s">
        <v>40</v>
      </c>
      <c r="B41" s="47"/>
      <c r="C41" s="47"/>
      <c r="O41" s="45" t="s">
        <v>62</v>
      </c>
      <c r="P41" s="45"/>
    </row>
    <row r="42" spans="1:25" x14ac:dyDescent="0.25">
      <c r="F42" t="s">
        <v>43</v>
      </c>
      <c r="G42" t="s">
        <v>44</v>
      </c>
      <c r="H42" t="s">
        <v>45</v>
      </c>
      <c r="I42" t="s">
        <v>46</v>
      </c>
      <c r="J42" t="s">
        <v>47</v>
      </c>
      <c r="K42" t="s">
        <v>48</v>
      </c>
      <c r="L42" t="s">
        <v>49</v>
      </c>
      <c r="M42" t="s">
        <v>50</v>
      </c>
      <c r="N42" t="s">
        <v>51</v>
      </c>
      <c r="O42" s="2" t="s">
        <v>41</v>
      </c>
      <c r="P42" s="2" t="s">
        <v>42</v>
      </c>
      <c r="Q42" t="s">
        <v>52</v>
      </c>
      <c r="R42" t="s">
        <v>53</v>
      </c>
      <c r="S42" t="s">
        <v>55</v>
      </c>
      <c r="T42" t="s">
        <v>56</v>
      </c>
      <c r="U42" t="s">
        <v>57</v>
      </c>
      <c r="V42" t="s">
        <v>58</v>
      </c>
      <c r="W42" t="s">
        <v>59</v>
      </c>
      <c r="X42" t="s">
        <v>60</v>
      </c>
      <c r="Y42" t="s">
        <v>61</v>
      </c>
    </row>
    <row r="43" spans="1:25" x14ac:dyDescent="0.25">
      <c r="A43" s="4" t="s">
        <v>0</v>
      </c>
      <c r="B43" s="4" t="s">
        <v>2</v>
      </c>
      <c r="C43" s="4" t="s">
        <v>1</v>
      </c>
      <c r="F43" s="17">
        <v>0</v>
      </c>
      <c r="G43" s="17">
        <v>0</v>
      </c>
      <c r="H43" s="18">
        <v>1</v>
      </c>
      <c r="I43" s="18">
        <v>1</v>
      </c>
      <c r="J43" s="18">
        <v>1</v>
      </c>
      <c r="K43" s="18">
        <v>1</v>
      </c>
      <c r="L43" s="3">
        <v>2</v>
      </c>
      <c r="M43" s="3">
        <v>2</v>
      </c>
      <c r="N43" s="3">
        <v>2</v>
      </c>
      <c r="O43" s="15">
        <v>2</v>
      </c>
      <c r="P43" s="15">
        <v>2</v>
      </c>
      <c r="Q43" s="3">
        <v>2</v>
      </c>
      <c r="R43" s="3">
        <v>2</v>
      </c>
      <c r="S43" s="19">
        <v>3</v>
      </c>
      <c r="T43" s="19">
        <v>3</v>
      </c>
      <c r="U43" s="19">
        <v>3</v>
      </c>
      <c r="V43" s="20">
        <v>4</v>
      </c>
      <c r="W43" s="20">
        <v>4</v>
      </c>
      <c r="X43" s="20">
        <v>4</v>
      </c>
      <c r="Y43" s="20">
        <v>4</v>
      </c>
    </row>
    <row r="44" spans="1:25" x14ac:dyDescent="0.25">
      <c r="A44" s="4">
        <v>0</v>
      </c>
      <c r="B44" s="4">
        <v>2</v>
      </c>
      <c r="C44" s="4">
        <f>B44</f>
        <v>2</v>
      </c>
    </row>
    <row r="45" spans="1:25" x14ac:dyDescent="0.25">
      <c r="A45" s="4">
        <v>1</v>
      </c>
      <c r="B45" s="4">
        <v>4</v>
      </c>
      <c r="C45" s="4">
        <f>C44+B45</f>
        <v>6</v>
      </c>
    </row>
    <row r="46" spans="1:25" ht="15.75" thickBot="1" x14ac:dyDescent="0.3">
      <c r="A46" s="23">
        <v>2</v>
      </c>
      <c r="B46" s="23">
        <v>6</v>
      </c>
      <c r="C46" s="4">
        <f t="shared" ref="C46:C48" si="1">C45+B46</f>
        <v>12</v>
      </c>
    </row>
    <row r="47" spans="1:25" ht="15.75" thickTop="1" x14ac:dyDescent="0.25">
      <c r="A47" s="21">
        <v>3</v>
      </c>
      <c r="B47" s="22">
        <v>5</v>
      </c>
      <c r="C47" s="4">
        <f t="shared" si="1"/>
        <v>17</v>
      </c>
    </row>
    <row r="48" spans="1:25" x14ac:dyDescent="0.25">
      <c r="A48" s="4">
        <v>4</v>
      </c>
      <c r="B48" s="4">
        <v>3</v>
      </c>
      <c r="C48" s="4">
        <f t="shared" si="1"/>
        <v>20</v>
      </c>
    </row>
    <row r="49" spans="1:8" x14ac:dyDescent="0.25">
      <c r="A49" s="4" t="s">
        <v>34</v>
      </c>
      <c r="B49" s="4">
        <f>SUM(B44:B48)</f>
        <v>20</v>
      </c>
      <c r="C49" s="4"/>
    </row>
    <row r="51" spans="1:8" x14ac:dyDescent="0.25">
      <c r="A51" t="s">
        <v>39</v>
      </c>
      <c r="B51">
        <f>(B49+1)/2</f>
        <v>10.5</v>
      </c>
      <c r="C51" s="2" t="s">
        <v>41</v>
      </c>
      <c r="D51" s="2" t="s">
        <v>42</v>
      </c>
      <c r="E51">
        <f>MEDIAN(F43:Y43)</f>
        <v>2</v>
      </c>
      <c r="G51" s="45" t="s">
        <v>62</v>
      </c>
      <c r="H51" s="45"/>
    </row>
    <row r="53" spans="1:8" x14ac:dyDescent="0.25">
      <c r="A53" t="s">
        <v>32</v>
      </c>
      <c r="B53">
        <f>_xlfn.MODE.SNGL(F43:Y43)</f>
        <v>2</v>
      </c>
    </row>
    <row r="56" spans="1:8" x14ac:dyDescent="0.25">
      <c r="A56" s="46" t="s">
        <v>63</v>
      </c>
      <c r="B56" s="46"/>
      <c r="C56" s="46"/>
      <c r="D56" s="5"/>
      <c r="E56" s="5"/>
    </row>
    <row r="58" spans="1:8" x14ac:dyDescent="0.25">
      <c r="A58" s="2" t="s">
        <v>5</v>
      </c>
      <c r="B58" s="2"/>
      <c r="C58" s="2"/>
    </row>
    <row r="59" spans="1:8" s="24" customFormat="1" x14ac:dyDescent="0.25"/>
    <row r="60" spans="1:8" x14ac:dyDescent="0.25">
      <c r="A60" s="4" t="s">
        <v>6</v>
      </c>
      <c r="B60" s="4" t="s">
        <v>11</v>
      </c>
      <c r="C60" s="4" t="s">
        <v>54</v>
      </c>
      <c r="D60" s="4" t="s">
        <v>66</v>
      </c>
      <c r="E60" s="4" t="s">
        <v>69</v>
      </c>
    </row>
    <row r="61" spans="1:8" x14ac:dyDescent="0.25">
      <c r="A61" s="6" t="s">
        <v>7</v>
      </c>
      <c r="B61" s="4">
        <v>2</v>
      </c>
      <c r="C61" s="4">
        <f>(4+2)/2</f>
        <v>3</v>
      </c>
      <c r="D61" s="4">
        <f>B61*C61</f>
        <v>6</v>
      </c>
      <c r="E61" s="4">
        <f>B61</f>
        <v>2</v>
      </c>
      <c r="G61" t="s">
        <v>65</v>
      </c>
    </row>
    <row r="62" spans="1:8" x14ac:dyDescent="0.25">
      <c r="A62" s="6" t="s">
        <v>8</v>
      </c>
      <c r="B62" s="4">
        <v>5</v>
      </c>
      <c r="C62" s="4">
        <f>(6+4)/2</f>
        <v>5</v>
      </c>
      <c r="D62" s="4">
        <f t="shared" ref="D62:D65" si="2">B62*C62</f>
        <v>25</v>
      </c>
      <c r="E62" s="4">
        <f>E61+B62</f>
        <v>7</v>
      </c>
    </row>
    <row r="63" spans="1:8" x14ac:dyDescent="0.25">
      <c r="A63" s="26" t="s">
        <v>9</v>
      </c>
      <c r="B63" s="12">
        <v>6</v>
      </c>
      <c r="C63" s="12">
        <f>(6+8)/2</f>
        <v>7</v>
      </c>
      <c r="D63" s="12">
        <f t="shared" si="2"/>
        <v>42</v>
      </c>
      <c r="E63" s="12">
        <f t="shared" ref="E63:E65" si="3">E62+B63</f>
        <v>13</v>
      </c>
      <c r="G63">
        <v>10.5</v>
      </c>
      <c r="H63" t="s">
        <v>62</v>
      </c>
    </row>
    <row r="64" spans="1:8" x14ac:dyDescent="0.25">
      <c r="A64" s="6" t="s">
        <v>10</v>
      </c>
      <c r="B64" s="4">
        <v>4</v>
      </c>
      <c r="C64" s="4">
        <f>(8+10)/2</f>
        <v>9</v>
      </c>
      <c r="D64" s="4">
        <f t="shared" si="2"/>
        <v>36</v>
      </c>
      <c r="E64" s="4">
        <f t="shared" si="3"/>
        <v>17</v>
      </c>
    </row>
    <row r="65" spans="1:8" x14ac:dyDescent="0.25">
      <c r="A65" s="6" t="s">
        <v>64</v>
      </c>
      <c r="B65" s="4">
        <v>3</v>
      </c>
      <c r="C65" s="4">
        <f>(10+12)/2</f>
        <v>11</v>
      </c>
      <c r="D65" s="4">
        <f t="shared" si="2"/>
        <v>33</v>
      </c>
      <c r="E65" s="4">
        <f t="shared" si="3"/>
        <v>20</v>
      </c>
    </row>
    <row r="66" spans="1:8" x14ac:dyDescent="0.25">
      <c r="A66" s="4" t="s">
        <v>3</v>
      </c>
      <c r="B66" s="4">
        <f>SUM(B60:B65)</f>
        <v>20</v>
      </c>
      <c r="C66" s="4">
        <f>SUM(C60:C65)</f>
        <v>35</v>
      </c>
      <c r="D66" s="4">
        <f>SUM(D61:D65)</f>
        <v>142</v>
      </c>
      <c r="E66" s="4">
        <f>SUM(E61:E65)</f>
        <v>59</v>
      </c>
    </row>
    <row r="68" spans="1:8" x14ac:dyDescent="0.25">
      <c r="A68" s="25" t="s">
        <v>37</v>
      </c>
      <c r="B68">
        <f>D66/B66</f>
        <v>7.1</v>
      </c>
      <c r="C68" t="s">
        <v>67</v>
      </c>
    </row>
    <row r="69" spans="1:8" x14ac:dyDescent="0.25">
      <c r="A69" t="s">
        <v>35</v>
      </c>
      <c r="G69" t="s">
        <v>70</v>
      </c>
      <c r="H69" t="s">
        <v>71</v>
      </c>
    </row>
    <row r="71" spans="1:8" x14ac:dyDescent="0.25">
      <c r="A71" t="s">
        <v>68</v>
      </c>
      <c r="C71" s="2">
        <f>6+(20/2-7)*2/6</f>
        <v>7</v>
      </c>
    </row>
    <row r="72" spans="1:8" x14ac:dyDescent="0.25">
      <c r="A72" t="s">
        <v>39</v>
      </c>
      <c r="B72">
        <f>(B66+1)/2</f>
        <v>10.5</v>
      </c>
    </row>
  </sheetData>
  <sortState ref="B15:C15">
    <sortCondition ref="B15"/>
  </sortState>
  <mergeCells count="8">
    <mergeCell ref="O41:P41"/>
    <mergeCell ref="G51:H51"/>
    <mergeCell ref="A56:C56"/>
    <mergeCell ref="A1:C1"/>
    <mergeCell ref="A13:C13"/>
    <mergeCell ref="A26:C26"/>
    <mergeCell ref="A19:C19"/>
    <mergeCell ref="A41:C41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5E3ABF-62E5-483D-8EBF-1017EACDD88F}">
  <dimension ref="A32:H63"/>
  <sheetViews>
    <sheetView topLeftCell="A16" workbookViewId="0">
      <selection activeCell="K58" sqref="K58"/>
    </sheetView>
  </sheetViews>
  <sheetFormatPr defaultRowHeight="15" x14ac:dyDescent="0.25"/>
  <cols>
    <col min="2" max="2" width="9.5703125" bestFit="1" customWidth="1"/>
  </cols>
  <sheetData>
    <row r="32" spans="1:8" x14ac:dyDescent="0.25">
      <c r="A32" s="3" t="s">
        <v>0</v>
      </c>
      <c r="B32" s="3">
        <v>2</v>
      </c>
      <c r="C32" s="3">
        <v>3</v>
      </c>
      <c r="D32" s="3">
        <v>4</v>
      </c>
      <c r="E32" s="3">
        <v>3</v>
      </c>
      <c r="F32" s="3">
        <v>5</v>
      </c>
      <c r="G32" s="3">
        <v>4</v>
      </c>
      <c r="H32" s="3">
        <v>3</v>
      </c>
    </row>
    <row r="34" spans="1:4" x14ac:dyDescent="0.25">
      <c r="A34" t="s">
        <v>27</v>
      </c>
      <c r="B34" s="27">
        <f>(AVERAGE(B32:H32))</f>
        <v>3.4285714285714284</v>
      </c>
    </row>
    <row r="35" spans="1:4" x14ac:dyDescent="0.25">
      <c r="A35" t="s">
        <v>29</v>
      </c>
      <c r="B35">
        <f>COUNT(B32:H32)</f>
        <v>7</v>
      </c>
    </row>
    <row r="36" spans="1:4" x14ac:dyDescent="0.25">
      <c r="A36" t="s">
        <v>28</v>
      </c>
      <c r="B36">
        <f>SUM(B32:H32)</f>
        <v>24</v>
      </c>
      <c r="C36" s="27">
        <f>B36/B35</f>
        <v>3.4285714285714284</v>
      </c>
    </row>
    <row r="37" spans="1:4" x14ac:dyDescent="0.25">
      <c r="A37" t="s">
        <v>72</v>
      </c>
      <c r="B37">
        <f>2^2+3^2+4^2+3^2+5^2+4^2+3^2</f>
        <v>88</v>
      </c>
    </row>
    <row r="39" spans="1:4" x14ac:dyDescent="0.25">
      <c r="A39" t="s">
        <v>73</v>
      </c>
    </row>
    <row r="40" spans="1:4" x14ac:dyDescent="0.25">
      <c r="A40" t="s">
        <v>74</v>
      </c>
      <c r="B40">
        <f>(B37-B35*B34^2)/(B35-1)</f>
        <v>0.95238095238095377</v>
      </c>
      <c r="D40">
        <f>_xlfn.VAR.S(B32:H32)</f>
        <v>0.95238095238095133</v>
      </c>
    </row>
    <row r="41" spans="1:4" x14ac:dyDescent="0.25">
      <c r="A41" t="s">
        <v>75</v>
      </c>
      <c r="B41">
        <f>SQRT(B40)</f>
        <v>0.97590007294853387</v>
      </c>
      <c r="D41">
        <f>_xlfn.STDEV.S(B32:H32)</f>
        <v>0.97590007294853265</v>
      </c>
    </row>
    <row r="43" spans="1:4" x14ac:dyDescent="0.25">
      <c r="A43" t="s">
        <v>76</v>
      </c>
    </row>
    <row r="44" spans="1:4" x14ac:dyDescent="0.25">
      <c r="A44" t="s">
        <v>74</v>
      </c>
      <c r="B44">
        <f>B37/B35-B34^2</f>
        <v>0.8163265306122458</v>
      </c>
      <c r="D44">
        <f>_xlfn.VAR.P(B32:H32)</f>
        <v>0.81632653061224492</v>
      </c>
    </row>
    <row r="45" spans="1:4" x14ac:dyDescent="0.25">
      <c r="A45" t="s">
        <v>75</v>
      </c>
      <c r="B45">
        <f>SQRT(B44)</f>
        <v>0.90350790290525174</v>
      </c>
      <c r="D45">
        <f>_xlfn.STDEV.P(B32:H32)</f>
        <v>0.90350790290525129</v>
      </c>
    </row>
    <row r="48" spans="1:4" x14ac:dyDescent="0.25">
      <c r="A48" s="2" t="s">
        <v>5</v>
      </c>
      <c r="B48" s="2"/>
      <c r="C48" s="2"/>
    </row>
    <row r="49" spans="1:6" x14ac:dyDescent="0.25">
      <c r="A49" s="24"/>
      <c r="B49" s="24"/>
      <c r="C49" s="24"/>
      <c r="D49" s="24"/>
      <c r="E49" s="24"/>
    </row>
    <row r="50" spans="1:6" x14ac:dyDescent="0.25">
      <c r="A50" s="4" t="s">
        <v>6</v>
      </c>
      <c r="B50" s="4" t="s">
        <v>11</v>
      </c>
      <c r="C50" s="4" t="s">
        <v>54</v>
      </c>
      <c r="D50" s="4" t="s">
        <v>66</v>
      </c>
      <c r="E50" s="4" t="s">
        <v>69</v>
      </c>
      <c r="F50" s="4" t="s">
        <v>80</v>
      </c>
    </row>
    <row r="51" spans="1:6" x14ac:dyDescent="0.25">
      <c r="A51" s="6" t="s">
        <v>77</v>
      </c>
      <c r="B51" s="4">
        <v>28</v>
      </c>
      <c r="C51" s="4">
        <v>1</v>
      </c>
      <c r="D51" s="4">
        <f>B51*C51</f>
        <v>28</v>
      </c>
      <c r="E51" s="4">
        <f>B51</f>
        <v>28</v>
      </c>
      <c r="F51" s="4">
        <f>B51*C51^2</f>
        <v>28</v>
      </c>
    </row>
    <row r="52" spans="1:6" x14ac:dyDescent="0.25">
      <c r="A52" s="6" t="s">
        <v>7</v>
      </c>
      <c r="B52" s="4">
        <v>43</v>
      </c>
      <c r="C52" s="4">
        <v>3</v>
      </c>
      <c r="D52" s="4">
        <f t="shared" ref="D52:D55" si="0">B52*C52</f>
        <v>129</v>
      </c>
      <c r="E52" s="4">
        <f>E51+B52</f>
        <v>71</v>
      </c>
      <c r="F52" s="4">
        <f t="shared" ref="F52:F55" si="1">B52*C52^2</f>
        <v>387</v>
      </c>
    </row>
    <row r="53" spans="1:6" x14ac:dyDescent="0.25">
      <c r="A53" s="28" t="s">
        <v>8</v>
      </c>
      <c r="B53" s="29">
        <v>49</v>
      </c>
      <c r="C53" s="29">
        <v>5</v>
      </c>
      <c r="D53" s="29">
        <f t="shared" si="0"/>
        <v>245</v>
      </c>
      <c r="E53" s="29">
        <f t="shared" ref="E53:E55" si="2">E52+B53</f>
        <v>120</v>
      </c>
      <c r="F53" s="4">
        <f t="shared" si="1"/>
        <v>1225</v>
      </c>
    </row>
    <row r="54" spans="1:6" x14ac:dyDescent="0.25">
      <c r="A54" s="6" t="s">
        <v>9</v>
      </c>
      <c r="B54" s="31">
        <v>41</v>
      </c>
      <c r="C54" s="4">
        <v>7</v>
      </c>
      <c r="D54" s="4">
        <f t="shared" si="0"/>
        <v>287</v>
      </c>
      <c r="E54" s="4">
        <f t="shared" si="2"/>
        <v>161</v>
      </c>
      <c r="F54" s="4">
        <f t="shared" si="1"/>
        <v>2009</v>
      </c>
    </row>
    <row r="55" spans="1:6" x14ac:dyDescent="0.25">
      <c r="A55" s="6" t="s">
        <v>10</v>
      </c>
      <c r="B55" s="31">
        <v>39</v>
      </c>
      <c r="C55" s="4">
        <v>9</v>
      </c>
      <c r="D55" s="4">
        <f t="shared" si="0"/>
        <v>351</v>
      </c>
      <c r="E55" s="4">
        <f t="shared" si="2"/>
        <v>200</v>
      </c>
      <c r="F55" s="4">
        <f t="shared" si="1"/>
        <v>3159</v>
      </c>
    </row>
    <row r="56" spans="1:6" x14ac:dyDescent="0.25">
      <c r="A56" s="4" t="s">
        <v>3</v>
      </c>
      <c r="B56" s="4">
        <f>SUM(B50:B55)</f>
        <v>200</v>
      </c>
      <c r="C56" s="4">
        <f>SUM(C50:C55)</f>
        <v>25</v>
      </c>
      <c r="D56" s="4">
        <f>SUM(D51:D55)</f>
        <v>1040</v>
      </c>
      <c r="E56" s="4"/>
      <c r="F56" s="4">
        <f>SUM(F51:F55)</f>
        <v>6808</v>
      </c>
    </row>
    <row r="57" spans="1:6" x14ac:dyDescent="0.25">
      <c r="A57" s="30"/>
      <c r="B57" s="30"/>
      <c r="C57" s="30"/>
      <c r="D57" s="30"/>
      <c r="E57" s="30"/>
      <c r="F57" s="30"/>
    </row>
    <row r="58" spans="1:6" x14ac:dyDescent="0.25">
      <c r="A58" t="s">
        <v>78</v>
      </c>
    </row>
    <row r="59" spans="1:6" x14ac:dyDescent="0.25">
      <c r="A59" s="25" t="s">
        <v>37</v>
      </c>
      <c r="B59">
        <f>D56/B56</f>
        <v>5.2</v>
      </c>
      <c r="C59" t="s">
        <v>79</v>
      </c>
    </row>
    <row r="60" spans="1:6" x14ac:dyDescent="0.25">
      <c r="A60" s="1" t="s">
        <v>75</v>
      </c>
      <c r="B60">
        <f>SQRT((F56-B56*B59^2)/(B56-1))</f>
        <v>2.652390597064652</v>
      </c>
    </row>
    <row r="62" spans="1:6" x14ac:dyDescent="0.25">
      <c r="A62" t="s">
        <v>81</v>
      </c>
      <c r="B62">
        <f>41+39</f>
        <v>80</v>
      </c>
    </row>
    <row r="63" spans="1:6" x14ac:dyDescent="0.25">
      <c r="A63" t="s">
        <v>82</v>
      </c>
      <c r="B63" s="32">
        <f>B62/B56</f>
        <v>0.4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AB5F6E-EE27-496D-AD41-1A00DC57B06A}">
  <dimension ref="A21:E39"/>
  <sheetViews>
    <sheetView topLeftCell="A16" workbookViewId="0">
      <selection activeCell="B39" sqref="B39"/>
    </sheetView>
  </sheetViews>
  <sheetFormatPr defaultRowHeight="15" x14ac:dyDescent="0.25"/>
  <sheetData>
    <row r="21" spans="1:5" x14ac:dyDescent="0.25">
      <c r="A21" t="s">
        <v>83</v>
      </c>
      <c r="B21" t="s">
        <v>87</v>
      </c>
      <c r="C21" s="32">
        <f>2.2/6.5</f>
        <v>0.33846153846153848</v>
      </c>
    </row>
    <row r="22" spans="1:5" x14ac:dyDescent="0.25">
      <c r="A22" s="33" t="s">
        <v>84</v>
      </c>
      <c r="B22" s="33" t="s">
        <v>87</v>
      </c>
      <c r="C22" s="34">
        <f>1.7/8</f>
        <v>0.21249999999999999</v>
      </c>
      <c r="E22" s="33" t="s">
        <v>88</v>
      </c>
    </row>
    <row r="23" spans="1:5" x14ac:dyDescent="0.25">
      <c r="A23" t="s">
        <v>85</v>
      </c>
      <c r="B23" t="s">
        <v>87</v>
      </c>
      <c r="C23" s="32">
        <f>2/8</f>
        <v>0.25</v>
      </c>
    </row>
    <row r="26" spans="1:5" x14ac:dyDescent="0.25">
      <c r="A26" t="s">
        <v>89</v>
      </c>
    </row>
    <row r="27" spans="1:5" x14ac:dyDescent="0.25">
      <c r="A27" t="s">
        <v>90</v>
      </c>
    </row>
    <row r="29" spans="1:5" x14ac:dyDescent="0.25">
      <c r="A29" s="4" t="s">
        <v>91</v>
      </c>
      <c r="B29" s="4" t="s">
        <v>11</v>
      </c>
      <c r="C29" s="4" t="s">
        <v>66</v>
      </c>
      <c r="D29" s="4" t="s">
        <v>80</v>
      </c>
    </row>
    <row r="30" spans="1:5" x14ac:dyDescent="0.25">
      <c r="A30" s="4">
        <v>0</v>
      </c>
      <c r="B30" s="4">
        <v>4</v>
      </c>
      <c r="C30" s="4">
        <f>A30*B30</f>
        <v>0</v>
      </c>
      <c r="D30" s="4">
        <f>B30*A30^2</f>
        <v>0</v>
      </c>
    </row>
    <row r="31" spans="1:5" x14ac:dyDescent="0.25">
      <c r="A31" s="4">
        <v>1</v>
      </c>
      <c r="B31" s="4">
        <v>7</v>
      </c>
      <c r="C31" s="4">
        <f t="shared" ref="C31:C34" si="0">A31*B31</f>
        <v>7</v>
      </c>
      <c r="D31" s="4">
        <f t="shared" ref="D31:D34" si="1">B31*A31^2</f>
        <v>7</v>
      </c>
    </row>
    <row r="32" spans="1:5" x14ac:dyDescent="0.25">
      <c r="A32" s="4">
        <v>2</v>
      </c>
      <c r="B32" s="4">
        <v>8</v>
      </c>
      <c r="C32" s="4">
        <f t="shared" si="0"/>
        <v>16</v>
      </c>
      <c r="D32" s="4">
        <f t="shared" si="1"/>
        <v>32</v>
      </c>
    </row>
    <row r="33" spans="1:4" x14ac:dyDescent="0.25">
      <c r="A33" s="4">
        <v>3</v>
      </c>
      <c r="B33" s="4">
        <v>2</v>
      </c>
      <c r="C33" s="4">
        <f t="shared" si="0"/>
        <v>6</v>
      </c>
      <c r="D33" s="4">
        <f t="shared" si="1"/>
        <v>18</v>
      </c>
    </row>
    <row r="34" spans="1:4" x14ac:dyDescent="0.25">
      <c r="A34" s="4">
        <v>4</v>
      </c>
      <c r="B34" s="4">
        <v>1</v>
      </c>
      <c r="C34" s="4">
        <f t="shared" si="0"/>
        <v>4</v>
      </c>
      <c r="D34" s="4">
        <f t="shared" si="1"/>
        <v>16</v>
      </c>
    </row>
    <row r="35" spans="1:4" x14ac:dyDescent="0.25">
      <c r="A35" t="s">
        <v>3</v>
      </c>
      <c r="B35" s="1">
        <f>SUM(B30:B34)</f>
        <v>22</v>
      </c>
      <c r="C35" s="1">
        <f>SUM(C30:C34)</f>
        <v>33</v>
      </c>
      <c r="D35" s="1">
        <f>SUM(D30:D34)</f>
        <v>73</v>
      </c>
    </row>
    <row r="37" spans="1:4" x14ac:dyDescent="0.25">
      <c r="A37" t="s">
        <v>27</v>
      </c>
      <c r="B37">
        <f>C35/B35</f>
        <v>1.5</v>
      </c>
    </row>
    <row r="38" spans="1:4" x14ac:dyDescent="0.25">
      <c r="A38" t="s">
        <v>75</v>
      </c>
      <c r="B38" s="35">
        <f>SQRT((D35-B35*B37^2)/(B35-1))</f>
        <v>1.0578504710249077</v>
      </c>
    </row>
    <row r="39" spans="1:4" x14ac:dyDescent="0.25">
      <c r="A39" t="s">
        <v>86</v>
      </c>
      <c r="B39" s="37">
        <f>B38/B37</f>
        <v>0.70523364734993843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4D5713-A815-429A-8895-D6DA218D9F6D}">
  <dimension ref="A18:B24"/>
  <sheetViews>
    <sheetView workbookViewId="0">
      <selection activeCell="F22" sqref="F22"/>
    </sheetView>
  </sheetViews>
  <sheetFormatPr defaultRowHeight="15" x14ac:dyDescent="0.25"/>
  <sheetData>
    <row r="18" spans="1:2" x14ac:dyDescent="0.25">
      <c r="A18" t="s">
        <v>92</v>
      </c>
      <c r="B18">
        <v>120</v>
      </c>
    </row>
    <row r="19" spans="1:2" x14ac:dyDescent="0.25">
      <c r="A19" t="s">
        <v>93</v>
      </c>
      <c r="B19">
        <v>30</v>
      </c>
    </row>
    <row r="20" spans="1:2" x14ac:dyDescent="0.25">
      <c r="A20" t="s">
        <v>97</v>
      </c>
      <c r="B20" s="36">
        <f>30/B18</f>
        <v>0.25</v>
      </c>
    </row>
    <row r="22" spans="1:2" x14ac:dyDescent="0.25">
      <c r="A22" t="s">
        <v>94</v>
      </c>
      <c r="B22">
        <f>1.4*B18-8</f>
        <v>160</v>
      </c>
    </row>
    <row r="23" spans="1:2" x14ac:dyDescent="0.25">
      <c r="A23" t="s">
        <v>95</v>
      </c>
      <c r="B23">
        <f>1.4*B19</f>
        <v>42</v>
      </c>
    </row>
    <row r="24" spans="1:2" x14ac:dyDescent="0.25">
      <c r="A24" t="s">
        <v>96</v>
      </c>
      <c r="B24" s="36">
        <f>B23/B22</f>
        <v>0.26250000000000001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E2C4C-393C-4A2A-B234-9E9F383176DC}">
  <dimension ref="A10:M235"/>
  <sheetViews>
    <sheetView topLeftCell="A212" workbookViewId="0">
      <selection activeCell="H234" sqref="H234"/>
    </sheetView>
  </sheetViews>
  <sheetFormatPr defaultRowHeight="15" x14ac:dyDescent="0.25"/>
  <cols>
    <col min="1" max="1" width="18.140625" bestFit="1" customWidth="1"/>
    <col min="10" max="10" width="12" bestFit="1" customWidth="1"/>
  </cols>
  <sheetData>
    <row r="10" spans="10:10" x14ac:dyDescent="0.25">
      <c r="J10" s="38"/>
    </row>
    <row r="18" spans="8:13" x14ac:dyDescent="0.25">
      <c r="M18" s="1" t="s">
        <v>29</v>
      </c>
    </row>
    <row r="19" spans="8:13" x14ac:dyDescent="0.25">
      <c r="H19" t="s">
        <v>107</v>
      </c>
      <c r="J19" t="s">
        <v>108</v>
      </c>
      <c r="M19" s="1">
        <v>6</v>
      </c>
    </row>
    <row r="21" spans="8:13" x14ac:dyDescent="0.25">
      <c r="H21" t="s">
        <v>75</v>
      </c>
      <c r="I21">
        <v>36</v>
      </c>
    </row>
    <row r="22" spans="8:13" x14ac:dyDescent="0.25">
      <c r="H22" t="s">
        <v>109</v>
      </c>
      <c r="I22" s="36">
        <f>M19/I21</f>
        <v>0.16666666666666666</v>
      </c>
    </row>
    <row r="36" spans="1:12" x14ac:dyDescent="0.25">
      <c r="H36" t="s">
        <v>29</v>
      </c>
    </row>
    <row r="37" spans="1:12" x14ac:dyDescent="0.25">
      <c r="A37" s="39" t="s">
        <v>75</v>
      </c>
      <c r="B37" s="3">
        <v>1</v>
      </c>
      <c r="C37" s="3">
        <v>2</v>
      </c>
      <c r="D37" s="3">
        <v>3</v>
      </c>
      <c r="E37" s="3">
        <v>4</v>
      </c>
      <c r="F37" s="3">
        <v>5</v>
      </c>
      <c r="G37" s="3">
        <v>6</v>
      </c>
      <c r="H37" s="40">
        <v>6</v>
      </c>
    </row>
    <row r="38" spans="1:12" x14ac:dyDescent="0.25">
      <c r="A38" s="39" t="s">
        <v>98</v>
      </c>
      <c r="B38" s="3"/>
      <c r="C38" s="3"/>
      <c r="D38" s="3"/>
      <c r="E38" s="3"/>
      <c r="F38" s="3">
        <v>5</v>
      </c>
      <c r="G38" s="3">
        <v>6</v>
      </c>
      <c r="H38" s="3">
        <v>2</v>
      </c>
      <c r="I38" t="s">
        <v>102</v>
      </c>
      <c r="J38" s="36">
        <f>H38/$H$37</f>
        <v>0.33333333333333331</v>
      </c>
    </row>
    <row r="39" spans="1:12" x14ac:dyDescent="0.25">
      <c r="A39" s="39" t="s">
        <v>99</v>
      </c>
      <c r="B39" s="3"/>
      <c r="C39" s="3">
        <v>2</v>
      </c>
      <c r="D39" s="3"/>
      <c r="E39" s="3">
        <v>4</v>
      </c>
      <c r="F39" s="3"/>
      <c r="G39" s="3">
        <v>6</v>
      </c>
      <c r="H39" s="40">
        <v>3</v>
      </c>
      <c r="I39" t="s">
        <v>103</v>
      </c>
      <c r="J39" s="32">
        <f t="shared" ref="J39:J41" si="0">H39/$H$37</f>
        <v>0.5</v>
      </c>
    </row>
    <row r="40" spans="1:12" x14ac:dyDescent="0.25">
      <c r="A40" s="39" t="s">
        <v>100</v>
      </c>
      <c r="B40" s="3"/>
      <c r="C40" s="3"/>
      <c r="D40" s="3"/>
      <c r="E40" s="3"/>
      <c r="F40" s="3"/>
      <c r="G40" s="3"/>
      <c r="H40" s="40">
        <v>0</v>
      </c>
      <c r="I40" t="s">
        <v>104</v>
      </c>
      <c r="J40" s="32">
        <f t="shared" si="0"/>
        <v>0</v>
      </c>
    </row>
    <row r="41" spans="1:12" x14ac:dyDescent="0.25">
      <c r="A41" s="39" t="s">
        <v>101</v>
      </c>
      <c r="B41" s="3">
        <v>1</v>
      </c>
      <c r="C41" s="3">
        <v>2</v>
      </c>
      <c r="D41" s="3">
        <v>3</v>
      </c>
      <c r="E41" s="3">
        <v>4</v>
      </c>
      <c r="F41" s="3">
        <v>5</v>
      </c>
      <c r="G41" s="3">
        <v>6</v>
      </c>
      <c r="H41" s="40">
        <v>6</v>
      </c>
      <c r="I41" t="s">
        <v>105</v>
      </c>
      <c r="J41" s="32">
        <f t="shared" si="0"/>
        <v>1</v>
      </c>
      <c r="L41" t="s">
        <v>106</v>
      </c>
    </row>
    <row r="93" spans="1:2" x14ac:dyDescent="0.25">
      <c r="A93" t="s">
        <v>110</v>
      </c>
      <c r="B93" t="s">
        <v>111</v>
      </c>
    </row>
    <row r="94" spans="1:2" x14ac:dyDescent="0.25">
      <c r="B94" s="41" t="s">
        <v>112</v>
      </c>
    </row>
    <row r="95" spans="1:2" x14ac:dyDescent="0.25">
      <c r="A95" t="s">
        <v>75</v>
      </c>
      <c r="B95" s="42">
        <v>12</v>
      </c>
    </row>
    <row r="96" spans="1:2" x14ac:dyDescent="0.25">
      <c r="B96" t="s">
        <v>113</v>
      </c>
    </row>
    <row r="98" spans="1:7" x14ac:dyDescent="0.25">
      <c r="B98" t="s">
        <v>114</v>
      </c>
      <c r="C98">
        <f>7/12</f>
        <v>0.58333333333333337</v>
      </c>
      <c r="D98" t="s">
        <v>115</v>
      </c>
      <c r="E98">
        <f>5/12</f>
        <v>0.41666666666666669</v>
      </c>
      <c r="F98">
        <f>C98*E98</f>
        <v>0.24305555555555558</v>
      </c>
    </row>
    <row r="100" spans="1:7" x14ac:dyDescent="0.25">
      <c r="A100" t="s">
        <v>116</v>
      </c>
      <c r="B100" s="35" t="s">
        <v>117</v>
      </c>
      <c r="C100" s="35">
        <f>7/12</f>
        <v>0.58333333333333337</v>
      </c>
      <c r="D100" s="35" t="s">
        <v>115</v>
      </c>
      <c r="E100" s="35">
        <f>7/12</f>
        <v>0.58333333333333337</v>
      </c>
      <c r="F100">
        <f>C100*E100</f>
        <v>0.34027777777777785</v>
      </c>
      <c r="G100" s="35"/>
    </row>
    <row r="101" spans="1:7" x14ac:dyDescent="0.25">
      <c r="B101" s="35"/>
      <c r="C101" s="35"/>
      <c r="D101" s="35"/>
      <c r="E101" s="35"/>
      <c r="F101" s="35"/>
      <c r="G101" s="35"/>
    </row>
    <row r="102" spans="1:7" x14ac:dyDescent="0.25">
      <c r="A102" t="s">
        <v>118</v>
      </c>
      <c r="B102" s="35" t="s">
        <v>119</v>
      </c>
      <c r="C102" s="35" t="s">
        <v>120</v>
      </c>
      <c r="D102" s="35" t="s">
        <v>121</v>
      </c>
      <c r="E102" s="35"/>
      <c r="F102" s="35"/>
      <c r="G102" s="35"/>
    </row>
    <row r="103" spans="1:7" x14ac:dyDescent="0.25">
      <c r="B103" s="35"/>
      <c r="C103" s="35" t="s">
        <v>122</v>
      </c>
      <c r="D103" s="35"/>
      <c r="E103" s="35"/>
      <c r="F103" s="35"/>
      <c r="G103" s="35"/>
    </row>
    <row r="104" spans="1:7" x14ac:dyDescent="0.25">
      <c r="B104" s="35">
        <f>7/12*5/12</f>
        <v>0.24305555555555558</v>
      </c>
      <c r="C104" s="35" t="s">
        <v>122</v>
      </c>
      <c r="D104" s="35">
        <f>5/12*7/12</f>
        <v>0.24305555555555558</v>
      </c>
      <c r="E104" s="35" t="s">
        <v>123</v>
      </c>
      <c r="F104" s="35">
        <f>B104+D104</f>
        <v>0.48611111111111116</v>
      </c>
      <c r="G104" s="35"/>
    </row>
    <row r="106" spans="1:7" x14ac:dyDescent="0.25">
      <c r="A106" t="s">
        <v>124</v>
      </c>
      <c r="B106" t="s">
        <v>117</v>
      </c>
      <c r="C106" s="35" t="s">
        <v>122</v>
      </c>
      <c r="D106" t="s">
        <v>125</v>
      </c>
    </row>
    <row r="108" spans="1:7" x14ac:dyDescent="0.25">
      <c r="B108">
        <f>7/12*7/12</f>
        <v>0.34027777777777785</v>
      </c>
      <c r="D108">
        <f>5/12*5/12</f>
        <v>0.17361111111111113</v>
      </c>
      <c r="F108">
        <f>B108+D108</f>
        <v>0.51388888888888895</v>
      </c>
    </row>
    <row r="134" spans="1:2" x14ac:dyDescent="0.25">
      <c r="A134" t="s">
        <v>110</v>
      </c>
      <c r="B134" t="s">
        <v>126</v>
      </c>
    </row>
    <row r="157" spans="1:1" x14ac:dyDescent="0.25">
      <c r="A157" t="s">
        <v>116</v>
      </c>
    </row>
    <row r="164" spans="1:1" x14ac:dyDescent="0.25">
      <c r="A164" t="s">
        <v>118</v>
      </c>
    </row>
    <row r="212" spans="1:6" x14ac:dyDescent="0.25">
      <c r="A212" s="3"/>
      <c r="B212" s="3" t="s">
        <v>129</v>
      </c>
      <c r="C212" s="3" t="s">
        <v>130</v>
      </c>
    </row>
    <row r="213" spans="1:6" x14ac:dyDescent="0.25">
      <c r="A213" s="3" t="s">
        <v>127</v>
      </c>
      <c r="B213" s="3">
        <v>64</v>
      </c>
      <c r="C213" s="3">
        <v>16</v>
      </c>
      <c r="D213">
        <f>SUM(B213:C213)</f>
        <v>80</v>
      </c>
    </row>
    <row r="214" spans="1:6" x14ac:dyDescent="0.25">
      <c r="A214" s="3" t="s">
        <v>128</v>
      </c>
      <c r="B214" s="3">
        <v>42</v>
      </c>
      <c r="C214" s="3">
        <v>78</v>
      </c>
      <c r="D214">
        <f>SUM(B214:C214)</f>
        <v>120</v>
      </c>
    </row>
    <row r="215" spans="1:6" x14ac:dyDescent="0.25">
      <c r="A215" s="3"/>
      <c r="B215" s="3">
        <f>SUM(B213:B214)</f>
        <v>106</v>
      </c>
      <c r="C215" s="3">
        <f>SUM(C213:C214)</f>
        <v>94</v>
      </c>
    </row>
    <row r="217" spans="1:6" x14ac:dyDescent="0.25">
      <c r="A217" t="s">
        <v>110</v>
      </c>
      <c r="B217" t="s">
        <v>131</v>
      </c>
      <c r="C217" t="s">
        <v>132</v>
      </c>
      <c r="D217">
        <v>80</v>
      </c>
      <c r="E217" t="s">
        <v>123</v>
      </c>
      <c r="F217">
        <v>0.4</v>
      </c>
    </row>
    <row r="218" spans="1:6" x14ac:dyDescent="0.25">
      <c r="C218" t="s">
        <v>133</v>
      </c>
      <c r="D218">
        <v>200</v>
      </c>
    </row>
    <row r="220" spans="1:6" x14ac:dyDescent="0.25">
      <c r="A220" t="s">
        <v>116</v>
      </c>
      <c r="B220" t="s">
        <v>134</v>
      </c>
      <c r="C220" t="s">
        <v>132</v>
      </c>
      <c r="D220">
        <v>106</v>
      </c>
      <c r="E220" t="s">
        <v>123</v>
      </c>
      <c r="F220">
        <f>D220/D221</f>
        <v>0.53</v>
      </c>
    </row>
    <row r="221" spans="1:6" x14ac:dyDescent="0.25">
      <c r="C221" t="s">
        <v>133</v>
      </c>
      <c r="D221">
        <v>200</v>
      </c>
    </row>
    <row r="223" spans="1:6" x14ac:dyDescent="0.25">
      <c r="A223" t="s">
        <v>118</v>
      </c>
      <c r="B223" t="s">
        <v>135</v>
      </c>
      <c r="D223">
        <v>64</v>
      </c>
      <c r="E223" t="s">
        <v>123</v>
      </c>
      <c r="F223">
        <f>D223/D224</f>
        <v>0.32</v>
      </c>
    </row>
    <row r="224" spans="1:6" x14ac:dyDescent="0.25">
      <c r="D224">
        <v>200</v>
      </c>
    </row>
    <row r="226" spans="1:8" x14ac:dyDescent="0.25">
      <c r="A226" t="s">
        <v>124</v>
      </c>
      <c r="B226" t="s">
        <v>136</v>
      </c>
      <c r="D226">
        <v>64</v>
      </c>
      <c r="E226" t="s">
        <v>123</v>
      </c>
      <c r="F226">
        <f>D226/D227</f>
        <v>0.8</v>
      </c>
      <c r="H226" t="s">
        <v>137</v>
      </c>
    </row>
    <row r="227" spans="1:8" x14ac:dyDescent="0.25">
      <c r="D227">
        <v>80</v>
      </c>
    </row>
    <row r="234" spans="1:8" x14ac:dyDescent="0.25">
      <c r="A234" t="s">
        <v>138</v>
      </c>
      <c r="B234" t="s">
        <v>139</v>
      </c>
      <c r="D234">
        <v>42</v>
      </c>
      <c r="F234">
        <f>D234/D235</f>
        <v>0.35</v>
      </c>
      <c r="H234" t="s">
        <v>137</v>
      </c>
    </row>
    <row r="235" spans="1:8" x14ac:dyDescent="0.25">
      <c r="D235">
        <v>120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2269EF-3573-488D-8D55-3847C539A09F}">
  <dimension ref="A10:G300"/>
  <sheetViews>
    <sheetView topLeftCell="A281" workbookViewId="0">
      <selection activeCell="C300" sqref="C300"/>
    </sheetView>
  </sheetViews>
  <sheetFormatPr defaultRowHeight="15" x14ac:dyDescent="0.25"/>
  <cols>
    <col min="1" max="1" width="16.140625" bestFit="1" customWidth="1"/>
    <col min="2" max="2" width="12" bestFit="1" customWidth="1"/>
    <col min="3" max="3" width="13.42578125" bestFit="1" customWidth="1"/>
    <col min="4" max="4" width="17" bestFit="1" customWidth="1"/>
  </cols>
  <sheetData>
    <row r="10" spans="1:1" x14ac:dyDescent="0.25">
      <c r="A10" t="s">
        <v>140</v>
      </c>
    </row>
    <row r="11" spans="1:1" x14ac:dyDescent="0.25">
      <c r="A11">
        <f>NORMSDIST(0.21)</f>
        <v>0.58316616348244232</v>
      </c>
    </row>
    <row r="21" spans="1:4" x14ac:dyDescent="0.25">
      <c r="A21" t="s">
        <v>140</v>
      </c>
      <c r="C21" t="s">
        <v>141</v>
      </c>
      <c r="D21">
        <v>1</v>
      </c>
    </row>
    <row r="22" spans="1:4" x14ac:dyDescent="0.25">
      <c r="A22">
        <f>NORMSDIST(-0.12)</f>
        <v>0.45224157397941611</v>
      </c>
      <c r="C22">
        <f>NORMSDIST(0)</f>
        <v>0.5</v>
      </c>
    </row>
    <row r="26" spans="1:4" x14ac:dyDescent="0.25">
      <c r="A26" t="s">
        <v>142</v>
      </c>
      <c r="C26">
        <f>NORMSDIST(1.23)</f>
        <v>0.89065144757430814</v>
      </c>
    </row>
    <row r="35" spans="1:3" x14ac:dyDescent="0.25">
      <c r="A35" t="s">
        <v>142</v>
      </c>
      <c r="C35">
        <f>NORMSDIST(1.23)</f>
        <v>0.89065144757430814</v>
      </c>
    </row>
    <row r="46" spans="1:3" x14ac:dyDescent="0.25">
      <c r="A46" t="s">
        <v>143</v>
      </c>
      <c r="C46">
        <f>NORMSDIST(-1.02)</f>
        <v>0.15386423037273483</v>
      </c>
    </row>
    <row r="72" spans="1:5" x14ac:dyDescent="0.25">
      <c r="A72" t="s">
        <v>144</v>
      </c>
      <c r="B72" t="s">
        <v>123</v>
      </c>
      <c r="C72" t="s">
        <v>145</v>
      </c>
      <c r="E72">
        <f>NORMSDIST(-1.45)</f>
        <v>7.3529259609648373E-2</v>
      </c>
    </row>
    <row r="90" spans="1:2" x14ac:dyDescent="0.25">
      <c r="A90" t="s">
        <v>146</v>
      </c>
      <c r="B90">
        <f>NORMSDIST(-1.03)</f>
        <v>0.15150500278834367</v>
      </c>
    </row>
    <row r="91" spans="1:2" x14ac:dyDescent="0.25">
      <c r="A91" t="s">
        <v>147</v>
      </c>
      <c r="B91">
        <f>NORMSDIST(1.02)</f>
        <v>0.84613576962726511</v>
      </c>
    </row>
    <row r="93" spans="1:2" x14ac:dyDescent="0.25">
      <c r="A93" t="s">
        <v>148</v>
      </c>
      <c r="B93">
        <f>B91-B90</f>
        <v>0.69463076683892144</v>
      </c>
    </row>
    <row r="118" spans="1:6" x14ac:dyDescent="0.25">
      <c r="A118" t="s">
        <v>149</v>
      </c>
      <c r="B118">
        <v>7</v>
      </c>
    </row>
    <row r="119" spans="1:6" x14ac:dyDescent="0.25">
      <c r="A119" t="s">
        <v>27</v>
      </c>
      <c r="B119">
        <v>15</v>
      </c>
    </row>
    <row r="120" spans="1:6" x14ac:dyDescent="0.25">
      <c r="A120" t="s">
        <v>150</v>
      </c>
      <c r="B120" t="s">
        <v>151</v>
      </c>
      <c r="C120" t="s">
        <v>123</v>
      </c>
      <c r="D120">
        <f>(13-B119)/B118</f>
        <v>-0.2857142857142857</v>
      </c>
      <c r="F120">
        <f>NORMSDIST(D120)</f>
        <v>0.38754848109799234</v>
      </c>
    </row>
    <row r="121" spans="1:6" x14ac:dyDescent="0.25">
      <c r="F121">
        <f>_xlfn.NORM.DIST(13,B119,B118,TRUE)</f>
        <v>0.38754848109799234</v>
      </c>
    </row>
    <row r="138" spans="1:1" x14ac:dyDescent="0.25">
      <c r="A138" t="s">
        <v>110</v>
      </c>
    </row>
    <row r="149" spans="1:2" x14ac:dyDescent="0.25">
      <c r="A149" t="s">
        <v>153</v>
      </c>
      <c r="B149">
        <f>_xlfn.NORM.DIST(16,20,4,TRUE)</f>
        <v>0.15865525393145699</v>
      </c>
    </row>
    <row r="150" spans="1:2" x14ac:dyDescent="0.25">
      <c r="A150" t="s">
        <v>154</v>
      </c>
      <c r="B150">
        <f>_xlfn.NORM.DIST(22,20,4,TRUE)</f>
        <v>0.69146246127401312</v>
      </c>
    </row>
    <row r="152" spans="1:2" x14ac:dyDescent="0.25">
      <c r="A152" t="s">
        <v>152</v>
      </c>
      <c r="B152">
        <f>B150-B149</f>
        <v>0.53280720734255616</v>
      </c>
    </row>
    <row r="156" spans="1:2" x14ac:dyDescent="0.25">
      <c r="A156" t="s">
        <v>116</v>
      </c>
    </row>
    <row r="168" spans="1:2" x14ac:dyDescent="0.25">
      <c r="A168" t="s">
        <v>155</v>
      </c>
      <c r="B168">
        <f>_xlfn.NORM.DIST(22,20,4,TRUE)</f>
        <v>0.69146246127401312</v>
      </c>
    </row>
    <row r="169" spans="1:2" x14ac:dyDescent="0.25">
      <c r="A169" t="s">
        <v>156</v>
      </c>
      <c r="B169">
        <f>_xlfn.NORM.DIST(25,20,4,TRUE)</f>
        <v>0.89435022633314476</v>
      </c>
    </row>
    <row r="171" spans="1:2" x14ac:dyDescent="0.25">
      <c r="A171" t="s">
        <v>152</v>
      </c>
      <c r="B171">
        <f>B169-B168</f>
        <v>0.20288776505913164</v>
      </c>
    </row>
    <row r="173" spans="1:2" x14ac:dyDescent="0.25">
      <c r="A173" t="s">
        <v>118</v>
      </c>
    </row>
    <row r="184" spans="1:3" x14ac:dyDescent="0.25">
      <c r="A184" t="s">
        <v>157</v>
      </c>
      <c r="B184" t="s">
        <v>123</v>
      </c>
      <c r="C184" t="s">
        <v>158</v>
      </c>
    </row>
    <row r="185" spans="1:3" x14ac:dyDescent="0.25">
      <c r="B185" t="s">
        <v>123</v>
      </c>
      <c r="C185">
        <f>1-_xlfn.NORM.DIST(23,20,4,TRUE)</f>
        <v>0.22662735237686826</v>
      </c>
    </row>
    <row r="201" spans="1:2" x14ac:dyDescent="0.25">
      <c r="A201" t="s">
        <v>27</v>
      </c>
      <c r="B201">
        <v>0.25</v>
      </c>
    </row>
    <row r="202" spans="1:2" x14ac:dyDescent="0.25">
      <c r="A202" t="s">
        <v>159</v>
      </c>
      <c r="B202">
        <v>0.02</v>
      </c>
    </row>
    <row r="210" spans="1:2" x14ac:dyDescent="0.25">
      <c r="A210" t="s">
        <v>160</v>
      </c>
      <c r="B210" s="37">
        <f>_xlfn.NORM.DIST(0.2,0.25,0.02,TRUE)</f>
        <v>6.2096653257761383E-3</v>
      </c>
    </row>
    <row r="212" spans="1:2" x14ac:dyDescent="0.25">
      <c r="A212" t="s">
        <v>161</v>
      </c>
      <c r="B212">
        <f>_xlfn.NORM.DIST(0.28,0.25,0.02,TRUE)</f>
        <v>0.93319279873114214</v>
      </c>
    </row>
    <row r="214" spans="1:2" x14ac:dyDescent="0.25">
      <c r="A214" t="s">
        <v>162</v>
      </c>
      <c r="B214" s="37">
        <f>1-B212</f>
        <v>6.6807201268857863E-2</v>
      </c>
    </row>
    <row r="217" spans="1:2" x14ac:dyDescent="0.25">
      <c r="A217" t="s">
        <v>163</v>
      </c>
      <c r="B217" s="43">
        <f>B210+B214</f>
        <v>7.3016866594633995E-2</v>
      </c>
    </row>
    <row r="233" spans="1:2" x14ac:dyDescent="0.25">
      <c r="A233" t="s">
        <v>164</v>
      </c>
      <c r="B233" t="s">
        <v>165</v>
      </c>
    </row>
    <row r="234" spans="1:2" x14ac:dyDescent="0.25">
      <c r="A234" t="s">
        <v>166</v>
      </c>
      <c r="B234" t="s">
        <v>167</v>
      </c>
    </row>
    <row r="235" spans="1:2" x14ac:dyDescent="0.25">
      <c r="A235" t="s">
        <v>168</v>
      </c>
      <c r="B235" t="s">
        <v>169</v>
      </c>
    </row>
    <row r="236" spans="1:2" x14ac:dyDescent="0.25">
      <c r="A236" t="s">
        <v>54</v>
      </c>
      <c r="B236" t="s">
        <v>169</v>
      </c>
    </row>
    <row r="237" spans="1:2" x14ac:dyDescent="0.25">
      <c r="A237" t="s">
        <v>170</v>
      </c>
    </row>
    <row r="238" spans="1:2" x14ac:dyDescent="0.25">
      <c r="A238" t="s">
        <v>27</v>
      </c>
      <c r="B238">
        <v>13</v>
      </c>
    </row>
    <row r="239" spans="1:2" x14ac:dyDescent="0.25">
      <c r="A239" t="s">
        <v>159</v>
      </c>
      <c r="B239">
        <v>3</v>
      </c>
    </row>
    <row r="241" spans="1:2" x14ac:dyDescent="0.25">
      <c r="A241" t="s">
        <v>171</v>
      </c>
      <c r="B241" s="36">
        <f>_xlfn.NORM.DIST(15,13,3,TRUE)</f>
        <v>0.74750746245307709</v>
      </c>
    </row>
    <row r="242" spans="1:2" x14ac:dyDescent="0.25">
      <c r="A242" t="s">
        <v>170</v>
      </c>
      <c r="B242" s="44">
        <f>1-B241</f>
        <v>0.25249253754692291</v>
      </c>
    </row>
    <row r="253" spans="1:2" x14ac:dyDescent="0.25">
      <c r="A253" t="s">
        <v>27</v>
      </c>
      <c r="B253">
        <v>6</v>
      </c>
    </row>
    <row r="254" spans="1:2" x14ac:dyDescent="0.25">
      <c r="A254" t="s">
        <v>172</v>
      </c>
      <c r="B254">
        <v>2</v>
      </c>
    </row>
    <row r="258" spans="1:2" x14ac:dyDescent="0.25">
      <c r="A258" t="s">
        <v>173</v>
      </c>
      <c r="B258">
        <v>0.15</v>
      </c>
    </row>
    <row r="260" spans="1:2" x14ac:dyDescent="0.25">
      <c r="A260" t="s">
        <v>54</v>
      </c>
      <c r="B260">
        <f>_xlfn.NORM.INV(0.15,6,2)</f>
        <v>3.9271332210124203</v>
      </c>
    </row>
    <row r="281" spans="1:5" x14ac:dyDescent="0.25">
      <c r="A281" t="s">
        <v>174</v>
      </c>
      <c r="B281" s="37">
        <f>_xlfn.NORM.DIST(-0.12,0,1,TRUE)</f>
        <v>0.45224157397941611</v>
      </c>
    </row>
    <row r="282" spans="1:5" x14ac:dyDescent="0.25">
      <c r="A282" t="s">
        <v>175</v>
      </c>
      <c r="B282" s="37">
        <f>_xlfn.NORM.DIST(-0.25,0,1,TRUE)</f>
        <v>0.4012936743170763</v>
      </c>
      <c r="D282" t="s">
        <v>177</v>
      </c>
      <c r="E282" s="43">
        <f>1-B282</f>
        <v>0.5987063256829237</v>
      </c>
    </row>
    <row r="284" spans="1:5" x14ac:dyDescent="0.25">
      <c r="A284" t="s">
        <v>176</v>
      </c>
      <c r="B284" s="43">
        <f>B281-B282</f>
        <v>5.0947899662339813E-2</v>
      </c>
    </row>
    <row r="286" spans="1:5" x14ac:dyDescent="0.25">
      <c r="A286" t="s">
        <v>178</v>
      </c>
      <c r="B286" s="37">
        <f>_xlfn.NORM.DIST(0.25,0,1,TRUE)</f>
        <v>0.5987063256829237</v>
      </c>
      <c r="D286" t="s">
        <v>179</v>
      </c>
      <c r="E286" s="43">
        <f>1-B286</f>
        <v>0.4012936743170763</v>
      </c>
    </row>
    <row r="288" spans="1:5" x14ac:dyDescent="0.25">
      <c r="A288" t="s">
        <v>27</v>
      </c>
      <c r="B288">
        <v>300</v>
      </c>
      <c r="D288" t="s">
        <v>180</v>
      </c>
      <c r="E288" s="37">
        <f>_xlfn.NORM.DIST(302.48,300,2,TRUE)</f>
        <v>0.89251230292541472</v>
      </c>
    </row>
    <row r="289" spans="1:7" x14ac:dyDescent="0.25">
      <c r="A289" t="s">
        <v>159</v>
      </c>
      <c r="B289">
        <v>2</v>
      </c>
      <c r="D289" t="s">
        <v>181</v>
      </c>
      <c r="E289" s="37">
        <f>1-_xlfn.NORM.DIST(298.14,300,2,TRUE)</f>
        <v>0.82381445775474382</v>
      </c>
    </row>
    <row r="290" spans="1:7" x14ac:dyDescent="0.25">
      <c r="D290" t="s">
        <v>182</v>
      </c>
      <c r="E290" s="43">
        <f>F290-G290</f>
        <v>0.85812691090123505</v>
      </c>
      <c r="F290" s="37">
        <f>1-_xlfn.NORM.DIST(297.6,300,2,TRUE)</f>
        <v>0.88493032977828956</v>
      </c>
      <c r="G290" s="37">
        <f>1-_xlfn.NORM.DIST(303.86,300,2,TRUE)</f>
        <v>2.6803418877054508E-2</v>
      </c>
    </row>
    <row r="293" spans="1:7" x14ac:dyDescent="0.25">
      <c r="A293" t="s">
        <v>183</v>
      </c>
      <c r="B293" t="s">
        <v>123</v>
      </c>
      <c r="C293">
        <v>0.95</v>
      </c>
    </row>
    <row r="297" spans="1:7" x14ac:dyDescent="0.25">
      <c r="B297" t="s">
        <v>184</v>
      </c>
      <c r="C297">
        <f>0.5+0.475</f>
        <v>0.97499999999999998</v>
      </c>
    </row>
    <row r="298" spans="1:7" x14ac:dyDescent="0.25">
      <c r="B298" t="s">
        <v>185</v>
      </c>
      <c r="C298">
        <v>0.97499999999999998</v>
      </c>
    </row>
    <row r="299" spans="1:7" x14ac:dyDescent="0.25">
      <c r="B299" t="s">
        <v>186</v>
      </c>
      <c r="C299" s="35">
        <f>_xlfn.NORM.INV(0.975,0,1)</f>
        <v>1.9599639845400536</v>
      </c>
    </row>
    <row r="300" spans="1:7" x14ac:dyDescent="0.25">
      <c r="B300" t="s">
        <v>187</v>
      </c>
      <c r="C300" s="48">
        <f>-C299</f>
        <v>-1.9599639845400536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Classificação Variáveis</vt:lpstr>
      <vt:lpstr>Dados Agrupados</vt:lpstr>
      <vt:lpstr>Frequencia</vt:lpstr>
      <vt:lpstr>Moda,Média, Mediana</vt:lpstr>
      <vt:lpstr>Desvio Padrao e Variancia</vt:lpstr>
      <vt:lpstr>Coeficiente de Variação</vt:lpstr>
      <vt:lpstr>Propriedades Média e Desvio Pad</vt:lpstr>
      <vt:lpstr>Probabilidade</vt:lpstr>
      <vt:lpstr>Distribuicao Normal</vt:lpstr>
      <vt:lpstr>Estimacao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</dc:creator>
  <cp:lastModifiedBy>Windows</cp:lastModifiedBy>
  <dcterms:created xsi:type="dcterms:W3CDTF">2018-12-30T21:18:21Z</dcterms:created>
  <dcterms:modified xsi:type="dcterms:W3CDTF">2019-01-02T22:56:39Z</dcterms:modified>
</cp:coreProperties>
</file>